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12" firstSheet="16" activeTab="16"/>
  </bookViews>
  <sheets>
    <sheet name="гири лич  " sheetId="1" r:id="rId1"/>
    <sheet name="гири  база  команд " sheetId="2" r:id="rId2"/>
    <sheet name="итог гири" sheetId="3" r:id="rId3"/>
    <sheet name="лыжи командная и база" sheetId="4" r:id="rId4"/>
    <sheet name="лыжи женщ 3 км " sheetId="5" r:id="rId5"/>
    <sheet name="лыжи мужч 5 км" sheetId="6" r:id="rId6"/>
    <sheet name="эстафета лыжи" sheetId="7" r:id="rId7"/>
    <sheet name="итог лыжи" sheetId="8" r:id="rId8"/>
    <sheet name="итог шахматы" sheetId="9" r:id="rId9"/>
    <sheet name="итог шашки" sheetId="10" r:id="rId10"/>
    <sheet name="дояры командная и база " sheetId="11" r:id="rId11"/>
    <sheet name="итог дояры " sheetId="12" r:id="rId12"/>
    <sheet name="лич дояры" sheetId="13" r:id="rId13"/>
    <sheet name="женщины дояры мех лыжи" sheetId="14" r:id="rId14"/>
    <sheet name="мужчины дояры мех лыжи" sheetId="15" r:id="rId15"/>
    <sheet name="механизат командная и база " sheetId="16" r:id="rId16"/>
    <sheet name="общекоман зачет " sheetId="17" r:id="rId17"/>
    <sheet name="ГТО" sheetId="18" r:id="rId18"/>
  </sheets>
  <definedNames>
    <definedName name="_xlfn.RANK.EQ" hidden="1">#NAME?</definedName>
    <definedName name="Z_270BFF79_708A_4FD1_AABC_5A565071881F_.wvu.Cols" localSheetId="0" hidden="1">'гири лич  '!$A:$A,'гири лич  '!$P:$CR</definedName>
    <definedName name="Z_270BFF79_708A_4FD1_AABC_5A565071881F_.wvu.Cols" localSheetId="11" hidden="1">'итог дояры '!$C:$C</definedName>
    <definedName name="Z_270BFF79_708A_4FD1_AABC_5A565071881F_.wvu.Cols" localSheetId="7" hidden="1">'итог лыжи'!$C:$C</definedName>
    <definedName name="Z_270BFF79_708A_4FD1_AABC_5A565071881F_.wvu.Cols" localSheetId="5" hidden="1">'лыжи мужч 5 км'!$B:$B</definedName>
    <definedName name="Z_270BFF79_708A_4FD1_AABC_5A565071881F_.wvu.Cols" localSheetId="6" hidden="1">'эстафета лыжи'!$B:$B,'эстафета лыжи'!$D:$D</definedName>
    <definedName name="Z_270BFF79_708A_4FD1_AABC_5A565071881F_.wvu.PrintArea" localSheetId="0" hidden="1">'гири лич  '!$A$1:$L$54</definedName>
    <definedName name="Z_270BFF79_708A_4FD1_AABC_5A565071881F_.wvu.PrintArea" localSheetId="11" hidden="1">'итог дояры '!$A$1:$G$38</definedName>
    <definedName name="Z_270BFF79_708A_4FD1_AABC_5A565071881F_.wvu.PrintArea" localSheetId="7" hidden="1">'итог лыжи'!$A$1:$G$36</definedName>
    <definedName name="Z_270BFF79_708A_4FD1_AABC_5A565071881F_.wvu.PrintArea" localSheetId="8" hidden="1">'итог шахматы'!$A$1:$F$29</definedName>
    <definedName name="Z_270BFF79_708A_4FD1_AABC_5A565071881F_.wvu.PrintArea" localSheetId="9" hidden="1">'итог шашки'!$A$1:$F$28</definedName>
    <definedName name="Z_270BFF79_708A_4FD1_AABC_5A565071881F_.wvu.PrintArea" localSheetId="4" hidden="1">'лыжи женщ 3 км '!$A$1:$I$35</definedName>
    <definedName name="Z_270BFF79_708A_4FD1_AABC_5A565071881F_.wvu.PrintArea" localSheetId="5" hidden="1">'лыжи мужч 5 км'!$A$1:$I$60</definedName>
    <definedName name="Z_270BFF79_708A_4FD1_AABC_5A565071881F_.wvu.PrintArea" localSheetId="14" hidden="1">'мужчины дояры мех лыжи'!$A$1:$I$39</definedName>
    <definedName name="Z_270BFF79_708A_4FD1_AABC_5A565071881F_.wvu.PrintArea" localSheetId="6" hidden="1">'эстафета лыжи'!$A$1:$F$30</definedName>
    <definedName name="Z_270BFF79_708A_4FD1_AABC_5A565071881F_.wvu.Rows" localSheetId="12" hidden="1">'лич дояры'!$43:$43,'лич дояры'!$50:$50</definedName>
    <definedName name="Z_885CD75C_B647_4AD7_A632_CB50CEFB630D_.wvu.Cols" localSheetId="13" hidden="1">'женщины дояры мех лыжи'!$B:$B</definedName>
    <definedName name="Z_885CD75C_B647_4AD7_A632_CB50CEFB630D_.wvu.Cols" localSheetId="2" hidden="1">'итог гири'!$C:$C</definedName>
    <definedName name="Z_885CD75C_B647_4AD7_A632_CB50CEFB630D_.wvu.Cols" localSheetId="11" hidden="1">'итог дояры '!$C:$C</definedName>
    <definedName name="Z_885CD75C_B647_4AD7_A632_CB50CEFB630D_.wvu.Cols" localSheetId="7" hidden="1">'итог лыжи'!$C:$C</definedName>
    <definedName name="Z_885CD75C_B647_4AD7_A632_CB50CEFB630D_.wvu.Cols" localSheetId="12" hidden="1">'лич дояры'!$D:$D,'лич дояры'!$G:$G,'лич дояры'!$J:$J</definedName>
    <definedName name="Z_885CD75C_B647_4AD7_A632_CB50CEFB630D_.wvu.Cols" localSheetId="5" hidden="1">'лыжи мужч 5 км'!$B:$B</definedName>
    <definedName name="Z_885CD75C_B647_4AD7_A632_CB50CEFB630D_.wvu.Cols" localSheetId="6" hidden="1">'эстафета лыжи'!$B:$B,'эстафета лыжи'!$D:$D</definedName>
    <definedName name="Z_885CD75C_B647_4AD7_A632_CB50CEFB630D_.wvu.PrintArea" localSheetId="0" hidden="1">'гири лич  '!$A$1:$N$77</definedName>
    <definedName name="Z_885CD75C_B647_4AD7_A632_CB50CEFB630D_.wvu.PrintArea" localSheetId="13" hidden="1">'женщины дояры мех лыжи'!$A$1:$I$34</definedName>
    <definedName name="Z_885CD75C_B647_4AD7_A632_CB50CEFB630D_.wvu.PrintArea" localSheetId="2" hidden="1">'итог гири'!$A$1:$G$26</definedName>
    <definedName name="Z_885CD75C_B647_4AD7_A632_CB50CEFB630D_.wvu.PrintArea" localSheetId="11" hidden="1">'итог дояры '!$A$1:$G$38</definedName>
    <definedName name="Z_885CD75C_B647_4AD7_A632_CB50CEFB630D_.wvu.PrintArea" localSheetId="7" hidden="1">'итог лыжи'!$A$1:$G$36</definedName>
    <definedName name="Z_885CD75C_B647_4AD7_A632_CB50CEFB630D_.wvu.PrintArea" localSheetId="8" hidden="1">'итог шахматы'!$A$1:$F$29</definedName>
    <definedName name="Z_885CD75C_B647_4AD7_A632_CB50CEFB630D_.wvu.PrintArea" localSheetId="9" hidden="1">'итог шашки'!$A$1:$F$28</definedName>
    <definedName name="Z_885CD75C_B647_4AD7_A632_CB50CEFB630D_.wvu.PrintArea" localSheetId="12" hidden="1">'лич дояры'!$A$1:$O$54</definedName>
    <definedName name="Z_885CD75C_B647_4AD7_A632_CB50CEFB630D_.wvu.PrintArea" localSheetId="4" hidden="1">'лыжи женщ 3 км '!$A$1:$I$61</definedName>
    <definedName name="Z_885CD75C_B647_4AD7_A632_CB50CEFB630D_.wvu.PrintArea" localSheetId="5" hidden="1">'лыжи мужч 5 км'!$A$1:$I$60</definedName>
    <definedName name="Z_885CD75C_B647_4AD7_A632_CB50CEFB630D_.wvu.PrintArea" localSheetId="14" hidden="1">'мужчины дояры мех лыжи'!$A$1:$I$39</definedName>
    <definedName name="Z_885CD75C_B647_4AD7_A632_CB50CEFB630D_.wvu.PrintArea" localSheetId="6" hidden="1">'эстафета лыжи'!$A$1:$F$30</definedName>
    <definedName name="Z_885CD75C_B647_4AD7_A632_CB50CEFB630D_.wvu.Rows" localSheetId="12" hidden="1">'лич дояры'!$43:$43,'лич дояры'!$50:$50</definedName>
    <definedName name="_xlnm.Print_Area" localSheetId="0">'гири лич  '!$A$1:$L$54</definedName>
    <definedName name="_xlnm.Print_Area" localSheetId="11">'итог дояры '!$A$1:$G$38</definedName>
    <definedName name="_xlnm.Print_Area" localSheetId="7">'итог лыжи'!$A$1:$G$36</definedName>
    <definedName name="_xlnm.Print_Area" localSheetId="8">'итог шахматы'!$A$1:$F$29</definedName>
    <definedName name="_xlnm.Print_Area" localSheetId="9">'итог шашки'!$A$1:$F$28</definedName>
    <definedName name="_xlnm.Print_Area" localSheetId="4">'лыжи женщ 3 км '!$A$1:$I$35</definedName>
    <definedName name="_xlnm.Print_Area" localSheetId="5">'лыжи мужч 5 км'!$A$1:$I$60</definedName>
    <definedName name="_xlnm.Print_Area" localSheetId="14">'мужчины дояры мех лыжи'!$A$1:$I$39</definedName>
    <definedName name="_xlnm.Print_Area" localSheetId="6">'эстафета лыжи'!$A$1:$F$30</definedName>
  </definedNames>
  <calcPr fullCalcOnLoad="1"/>
</workbook>
</file>

<file path=xl/sharedStrings.xml><?xml version="1.0" encoding="utf-8"?>
<sst xmlns="http://schemas.openxmlformats.org/spreadsheetml/2006/main" count="1127" uniqueCount="441">
  <si>
    <t>район</t>
  </si>
  <si>
    <t>очки</t>
  </si>
  <si>
    <t>ФИО</t>
  </si>
  <si>
    <t>Белинский</t>
  </si>
  <si>
    <t>Городищенский</t>
  </si>
  <si>
    <t>Каменский</t>
  </si>
  <si>
    <t>Район</t>
  </si>
  <si>
    <t>Место</t>
  </si>
  <si>
    <t>МУЖЧИНЫ</t>
  </si>
  <si>
    <t>Бековский</t>
  </si>
  <si>
    <t>Камешкирский</t>
  </si>
  <si>
    <t>Лопатинский</t>
  </si>
  <si>
    <t>№ п/п</t>
  </si>
  <si>
    <t>рез-т</t>
  </si>
  <si>
    <t>место</t>
  </si>
  <si>
    <t>рывок</t>
  </si>
  <si>
    <t>толчок</t>
  </si>
  <si>
    <t>2-е</t>
  </si>
  <si>
    <t>ЖЕНЩИНЫ</t>
  </si>
  <si>
    <t>Сосновоборский</t>
  </si>
  <si>
    <t>Малосердобинский</t>
  </si>
  <si>
    <t>Шемышейский</t>
  </si>
  <si>
    <t>Кузнецкий</t>
  </si>
  <si>
    <t>Сердобский</t>
  </si>
  <si>
    <t>Бессоновский</t>
  </si>
  <si>
    <t>Спасский</t>
  </si>
  <si>
    <t>Земетчинский</t>
  </si>
  <si>
    <t>Неверкинский</t>
  </si>
  <si>
    <t>Колышлейский</t>
  </si>
  <si>
    <t>Вадинский</t>
  </si>
  <si>
    <t>Мокшанский</t>
  </si>
  <si>
    <t>Очки</t>
  </si>
  <si>
    <t>Сумма очков</t>
  </si>
  <si>
    <t>Нагр №</t>
  </si>
  <si>
    <t>Фамилия, имя</t>
  </si>
  <si>
    <t>Организация</t>
  </si>
  <si>
    <t>силовая гимнастика</t>
  </si>
  <si>
    <t>сборка, разборка АДУ-1</t>
  </si>
  <si>
    <t>Башмаковский</t>
  </si>
  <si>
    <t>Тамалинский</t>
  </si>
  <si>
    <t>Нижнеломовский</t>
  </si>
  <si>
    <t>Иссинский</t>
  </si>
  <si>
    <t>Лунинский</t>
  </si>
  <si>
    <t>Пензенский</t>
  </si>
  <si>
    <t>Наровчатский</t>
  </si>
  <si>
    <t>Никольский</t>
  </si>
  <si>
    <t>Пачелмский</t>
  </si>
  <si>
    <t>Рез-т</t>
  </si>
  <si>
    <t>Сумма 
очков</t>
  </si>
  <si>
    <t>Мес
то</t>
  </si>
  <si>
    <t>Результаты общекомандного первенства</t>
  </si>
  <si>
    <t>Главный судья соревнований</t>
  </si>
  <si>
    <t>Т.Т.Кондракова</t>
  </si>
  <si>
    <t xml:space="preserve">МУЖЧИНЫ </t>
  </si>
  <si>
    <t>ФИ участника</t>
  </si>
  <si>
    <t>Весовая категория</t>
  </si>
  <si>
    <t>КОМИТЕТ  ПЕНЗЕНСКОЙ  ОБЛАСТИ  ПО  ФИЗИЧЕСКОЙ  КУЛЬТУРЕ  И СПОРТУ</t>
  </si>
  <si>
    <t>Команда</t>
  </si>
  <si>
    <t xml:space="preserve">Летние сельские спортивные игры Пензенской области – 2014 г. </t>
  </si>
  <si>
    <t>РЕЗУЛЬТАТЫ
 КОМАНДНОГО  ПЕРВЕНСТВА ПО ГИРЕВОМУ СПОРТУ</t>
  </si>
  <si>
    <t>Вес муж</t>
  </si>
  <si>
    <t>Вес жен</t>
  </si>
  <si>
    <t>Вручную</t>
  </si>
  <si>
    <t>Результаты командного первенства по гиревому спорту</t>
  </si>
  <si>
    <t>Результаты личного первенства по гиревому спорту</t>
  </si>
  <si>
    <t xml:space="preserve">    </t>
  </si>
  <si>
    <t>Нагрд.№</t>
  </si>
  <si>
    <t>Ф.И. участника</t>
  </si>
  <si>
    <t>Эстафета</t>
  </si>
  <si>
    <t>ГИРИ</t>
  </si>
  <si>
    <t xml:space="preserve">ДОЯРЫ   </t>
  </si>
  <si>
    <t>31 января 2015г.</t>
  </si>
  <si>
    <t>Командная сумма очков</t>
  </si>
  <si>
    <t>п.Колышлей</t>
  </si>
  <si>
    <t>Сумма очков общекомандного зачета</t>
  </si>
  <si>
    <t>Сумма очков командного зачета</t>
  </si>
  <si>
    <t>Результаты командного первенства по лыжному спорту</t>
  </si>
  <si>
    <t>Областные зимние сельские спортивные игры 2015 г.</t>
  </si>
  <si>
    <t>П Р О Т О К О Л 
соревнований по лыжным гонкам</t>
  </si>
  <si>
    <t>Время финиша</t>
  </si>
  <si>
    <t>Время старта</t>
  </si>
  <si>
    <r>
      <t xml:space="preserve">    БЕГ НА 5 км  </t>
    </r>
    <r>
      <rPr>
        <b/>
        <sz val="10"/>
        <rFont val="Arial"/>
        <family val="2"/>
      </rPr>
      <t xml:space="preserve"> МУЖЧИНЫ </t>
    </r>
    <r>
      <rPr>
        <sz val="10"/>
        <rFont val="Arial"/>
        <family val="2"/>
      </rPr>
      <t xml:space="preserve">  31.01.2015</t>
    </r>
  </si>
  <si>
    <r>
      <t xml:space="preserve">    БЕГ НА 3 км    </t>
    </r>
    <r>
      <rPr>
        <b/>
        <sz val="10"/>
        <rFont val="Arial"/>
        <family val="2"/>
      </rPr>
      <t>ЖЕНЩИНЫ</t>
    </r>
    <r>
      <rPr>
        <sz val="10"/>
        <rFont val="Arial"/>
        <family val="2"/>
      </rPr>
      <t xml:space="preserve">   31.01.2015</t>
    </r>
  </si>
  <si>
    <t xml:space="preserve"> Комбинированная лыжная эстафета  31.01.2015</t>
  </si>
  <si>
    <t>РЕЗУЛЬТАТЫ
 КОМАНДНОГО  ПЕРВЕНСТВА ПО ЛЫЖНОМУ СПОРТУ</t>
  </si>
  <si>
    <t xml:space="preserve">Зимние сельские спортивные игры Пензенской области – 2015 г. </t>
  </si>
  <si>
    <t>РЕЗУЛЬТАТЫ
 КОМАНДНОГО  ПЕРВЕНСТВА ПО ШАХМАТАМ</t>
  </si>
  <si>
    <t>РЕЗУЛЬТАТЫ
 КОМАНДНОГО  ПЕРВЕНСТВА ПО ШАШКАМ</t>
  </si>
  <si>
    <t>Результаты командного первенства ДОЯРЫ</t>
  </si>
  <si>
    <t>лыжи</t>
  </si>
  <si>
    <t>РЕЗУЛЬТАТЫ
 КОМАНДНОГО  ПЕРВЕНСТВА СРЕДИ ДОЯРОВ</t>
  </si>
  <si>
    <t>Нагр. №</t>
  </si>
  <si>
    <t>Областные  зимние сельские спортивные игры 2015 г.</t>
  </si>
  <si>
    <t>Дистанция 2 км</t>
  </si>
  <si>
    <t>ДОЯРЫ</t>
  </si>
  <si>
    <t>МЕХАНИЗАТОРЫ</t>
  </si>
  <si>
    <t>время финиши</t>
  </si>
  <si>
    <t>время старта</t>
  </si>
  <si>
    <t>П Р О Т О К О Л 
соревнований    МУЖЧИНЫ ДОЯРЫ + МЕХАНИЗАТОРЫ</t>
  </si>
  <si>
    <t>Дистанция 3 км</t>
  </si>
  <si>
    <t>командные очки</t>
  </si>
  <si>
    <t>Результаты командного первенства МЕХАНИЗАТОРЫ</t>
  </si>
  <si>
    <t>Шахматы</t>
  </si>
  <si>
    <t>Для капир муж</t>
  </si>
  <si>
    <t xml:space="preserve">Для капир для капир жен </t>
  </si>
  <si>
    <t>Галкина Людмила</t>
  </si>
  <si>
    <t>Исаева Ольга</t>
  </si>
  <si>
    <t>Кречин Игорь</t>
  </si>
  <si>
    <t>Калашников Олег</t>
  </si>
  <si>
    <t>Махова Елена</t>
  </si>
  <si>
    <t>Бормотов Константин</t>
  </si>
  <si>
    <t>Маркин Николай</t>
  </si>
  <si>
    <t>Горшкова Елена</t>
  </si>
  <si>
    <t>Щеглова Анна</t>
  </si>
  <si>
    <t>Нестеров Владимир</t>
  </si>
  <si>
    <t>Ситников Николай</t>
  </si>
  <si>
    <t>Волкова Кристина</t>
  </si>
  <si>
    <t>Карпов Евгений</t>
  </si>
  <si>
    <t>Манишев Андрей</t>
  </si>
  <si>
    <t>Манишев Александр</t>
  </si>
  <si>
    <t>Храмова Анастасия</t>
  </si>
  <si>
    <t>Арефьева Оксана</t>
  </si>
  <si>
    <t>Барков Михаил</t>
  </si>
  <si>
    <t>Калякин Роман</t>
  </si>
  <si>
    <t>Климов Дмитрий</t>
  </si>
  <si>
    <t>Барков Дмитрий</t>
  </si>
  <si>
    <t>Горюнов Сергей</t>
  </si>
  <si>
    <t>Парфенов Алексей</t>
  </si>
  <si>
    <t>Филоненко С.</t>
  </si>
  <si>
    <t>Малыгина А.</t>
  </si>
  <si>
    <t>Степанова Анастасия</t>
  </si>
  <si>
    <t>Линькова Юлия</t>
  </si>
  <si>
    <t>Тычков Дмитрий</t>
  </si>
  <si>
    <t>Ульянов Эдуард</t>
  </si>
  <si>
    <t>Исянов Руслан</t>
  </si>
  <si>
    <t>Жирнов Антон</t>
  </si>
  <si>
    <t>Чернышов Сергей</t>
  </si>
  <si>
    <t>Столбухин Сергей</t>
  </si>
  <si>
    <t>Серебряков Владимир</t>
  </si>
  <si>
    <t>Колупанова Наталья</t>
  </si>
  <si>
    <t>Сорокина Ирина</t>
  </si>
  <si>
    <t>Луковников Евгений</t>
  </si>
  <si>
    <t>Карасев Владимир</t>
  </si>
  <si>
    <t>Игнашкина Олеся</t>
  </si>
  <si>
    <t>Тажетдинова Лилия</t>
  </si>
  <si>
    <t>Кузнецов Евгений</t>
  </si>
  <si>
    <t>Какулин Александр</t>
  </si>
  <si>
    <t>Талабаева Таисия</t>
  </si>
  <si>
    <t>Сейфуллин Рамис</t>
  </si>
  <si>
    <t>Антошкин Дмитрий</t>
  </si>
  <si>
    <t>Зайцев Николай</t>
  </si>
  <si>
    <t>Оникова Ирина</t>
  </si>
  <si>
    <t>Лебедева Екатерина</t>
  </si>
  <si>
    <t>Комаров Михаил</t>
  </si>
  <si>
    <t>Перегудов Руслан</t>
  </si>
  <si>
    <t>Курмаева Гельнур</t>
  </si>
  <si>
    <t>Елевич Светлана</t>
  </si>
  <si>
    <t>Бикмаев Тамерлан</t>
  </si>
  <si>
    <t>Катаев Дмитрий</t>
  </si>
  <si>
    <t>Грачев Илья</t>
  </si>
  <si>
    <t>Кикин Дмитрий</t>
  </si>
  <si>
    <t>Павлов Сергей</t>
  </si>
  <si>
    <t>Маштаков Сергей</t>
  </si>
  <si>
    <t>Суздальцева Александра</t>
  </si>
  <si>
    <t>Струева Алена</t>
  </si>
  <si>
    <t>Суздальцев Владимир</t>
  </si>
  <si>
    <t>Струев Михаил</t>
  </si>
  <si>
    <t>Карташов Алексей</t>
  </si>
  <si>
    <t>Шахин Иван</t>
  </si>
  <si>
    <t>22н</t>
  </si>
  <si>
    <t>23н</t>
  </si>
  <si>
    <t>Щеглова Ольга</t>
  </si>
  <si>
    <t>Бочкарева Татьяна</t>
  </si>
  <si>
    <t>Плотников Роман</t>
  </si>
  <si>
    <t>Горшков Дмитрий</t>
  </si>
  <si>
    <t>Силуков Александр</t>
  </si>
  <si>
    <t>Власов Александр</t>
  </si>
  <si>
    <t>Садомов Александр</t>
  </si>
  <si>
    <t>Дыченко Анна</t>
  </si>
  <si>
    <t>Воробьева Кристина</t>
  </si>
  <si>
    <t>Попов Андрей</t>
  </si>
  <si>
    <t>Токарев Александр</t>
  </si>
  <si>
    <t>Юдина Татьяна</t>
  </si>
  <si>
    <t>Рассыпнова Дина</t>
  </si>
  <si>
    <t>Суздальцев Вячеслав</t>
  </si>
  <si>
    <t>Струев Владимир</t>
  </si>
  <si>
    <t>Гонцова Мария</t>
  </si>
  <si>
    <t>Шатилова Александра</t>
  </si>
  <si>
    <t>Казаков Максим</t>
  </si>
  <si>
    <t>Молодцов Алексей</t>
  </si>
  <si>
    <t>Преснякова Инна</t>
  </si>
  <si>
    <t>Преснякова Наталья</t>
  </si>
  <si>
    <t>Данилов Юрий</t>
  </si>
  <si>
    <t>Жаткин Александр</t>
  </si>
  <si>
    <t>Тарасов Михаил</t>
  </si>
  <si>
    <t>Воробьев Владимир</t>
  </si>
  <si>
    <t>Синицина Надежда</t>
  </si>
  <si>
    <t>Муштакова Кристина</t>
  </si>
  <si>
    <t>Рамеев Рифат</t>
  </si>
  <si>
    <t>Резников Вячеслав</t>
  </si>
  <si>
    <t>Горшков Сергей</t>
  </si>
  <si>
    <t>Заварзин Денис</t>
  </si>
  <si>
    <t>Безина Татьяна</t>
  </si>
  <si>
    <t>Новикова Дарья</t>
  </si>
  <si>
    <t>Щегольков Владимир</t>
  </si>
  <si>
    <t>Соборников Алексей</t>
  </si>
  <si>
    <t>Спирин Сергей</t>
  </si>
  <si>
    <t>Возьмилов Василий</t>
  </si>
  <si>
    <t>Медянцева Ярослава</t>
  </si>
  <si>
    <t>Масленникова Дарья</t>
  </si>
  <si>
    <t>Масленников Денис</t>
  </si>
  <si>
    <t>Кондрашов Павел</t>
  </si>
  <si>
    <t>Щербакова Вера</t>
  </si>
  <si>
    <t>Терентьева Анастасия</t>
  </si>
  <si>
    <t>Улданов Рустам</t>
  </si>
  <si>
    <t>Улданов Равиль</t>
  </si>
  <si>
    <t>Андрюшкина Юля</t>
  </si>
  <si>
    <t>Почевалова Мария</t>
  </si>
  <si>
    <t>Лявин Владимир</t>
  </si>
  <si>
    <t>Безгубов Александр</t>
  </si>
  <si>
    <t>Танцерева Наталья</t>
  </si>
  <si>
    <t>Дятлов Николай</t>
  </si>
  <si>
    <t>Теплов Антон</t>
  </si>
  <si>
    <t>Шишков Денис</t>
  </si>
  <si>
    <t>Акбулатов Ильяс</t>
  </si>
  <si>
    <t>Жиганов Алексей</t>
  </si>
  <si>
    <t>Денисов Сергей</t>
  </si>
  <si>
    <t>Ягодин Владимир</t>
  </si>
  <si>
    <t>13м</t>
  </si>
  <si>
    <t>10м</t>
  </si>
  <si>
    <t>Романова Ю.</t>
  </si>
  <si>
    <t>Рябцева А.</t>
  </si>
  <si>
    <t>Седов Д.</t>
  </si>
  <si>
    <t>Кульков С.</t>
  </si>
  <si>
    <t>Королева Нина</t>
  </si>
  <si>
    <t>Мукаммадиева Б</t>
  </si>
  <si>
    <t>9м</t>
  </si>
  <si>
    <t>8м</t>
  </si>
  <si>
    <t>Вольф Ольга</t>
  </si>
  <si>
    <t>Дружкова Людмила</t>
  </si>
  <si>
    <t>Бородулин Олег</t>
  </si>
  <si>
    <t>Каплин Константин</t>
  </si>
  <si>
    <t>Домрачева Юлия</t>
  </si>
  <si>
    <t>Зайцева Елена</t>
  </si>
  <si>
    <t>Уткин Сергей</t>
  </si>
  <si>
    <t>Карташов Александр</t>
  </si>
  <si>
    <t>Царапкина Кристина</t>
  </si>
  <si>
    <t>Асташкина Катя</t>
  </si>
  <si>
    <t>Потешкин Никита</t>
  </si>
  <si>
    <t>Балябин Максим</t>
  </si>
  <si>
    <t>Сураева Надежда</t>
  </si>
  <si>
    <t>Маштракова Д.</t>
  </si>
  <si>
    <t>Козлов А.</t>
  </si>
  <si>
    <t>Кувшинова Е.</t>
  </si>
  <si>
    <t>Сергеева А.</t>
  </si>
  <si>
    <t>Черков В.</t>
  </si>
  <si>
    <t>Христич А.</t>
  </si>
  <si>
    <t>Кузнецов Дмитрий</t>
  </si>
  <si>
    <t>Букина Наталья</t>
  </si>
  <si>
    <t>Вишнякова Наталья</t>
  </si>
  <si>
    <t>Вирясова Виктория</t>
  </si>
  <si>
    <t>Кручинкин Илья</t>
  </si>
  <si>
    <t>Самаркин Андрей</t>
  </si>
  <si>
    <t>Кузнецов Н</t>
  </si>
  <si>
    <t>Шатлов А</t>
  </si>
  <si>
    <t>Кирин Николай</t>
  </si>
  <si>
    <t>Климцов Николай</t>
  </si>
  <si>
    <t>Самойлов Алексей</t>
  </si>
  <si>
    <t>Воропаев Антон</t>
  </si>
  <si>
    <t>28г</t>
  </si>
  <si>
    <t>27г</t>
  </si>
  <si>
    <t>Тихонов Евгений</t>
  </si>
  <si>
    <t>Фарафанов Дмитрий</t>
  </si>
  <si>
    <t>Силоченков Максим</t>
  </si>
  <si>
    <t>Балуев Денис</t>
  </si>
  <si>
    <t>Расческова Светлана</t>
  </si>
  <si>
    <t>Сыров Николай</t>
  </si>
  <si>
    <t>Медведева Наталья</t>
  </si>
  <si>
    <t>Заботин Владимир</t>
  </si>
  <si>
    <t>Герасимов Антон</t>
  </si>
  <si>
    <t>Шарков Владимир</t>
  </si>
  <si>
    <t>Лопатков Вячеслав</t>
  </si>
  <si>
    <t>Емелин Александр</t>
  </si>
  <si>
    <t>Романовский Виктор</t>
  </si>
  <si>
    <t>Горшков Антон</t>
  </si>
  <si>
    <t>Беляков Виктор</t>
  </si>
  <si>
    <t>Романов Максим</t>
  </si>
  <si>
    <t>Бгатов Петр</t>
  </si>
  <si>
    <t>Темаков Сергей</t>
  </si>
  <si>
    <t>Кунатохин В</t>
  </si>
  <si>
    <t>Новиков А</t>
  </si>
  <si>
    <t>30н</t>
  </si>
  <si>
    <t>29н</t>
  </si>
  <si>
    <t>Фектистова Марина</t>
  </si>
  <si>
    <t>Шишов Владимир</t>
  </si>
  <si>
    <t>Кадеров Сергей</t>
  </si>
  <si>
    <t>Маризов Юрий</t>
  </si>
  <si>
    <t>Ендуткин А</t>
  </si>
  <si>
    <t>Грошев М</t>
  </si>
  <si>
    <t>Антошкина Татьяна</t>
  </si>
  <si>
    <t>24ш</t>
  </si>
  <si>
    <t>25ш</t>
  </si>
  <si>
    <t>Семашкина Татьяна</t>
  </si>
  <si>
    <t>Нуждов Я.</t>
  </si>
  <si>
    <t>Битнев А.</t>
  </si>
  <si>
    <t>Аброськина Кристина</t>
  </si>
  <si>
    <t>58ж</t>
  </si>
  <si>
    <t>Заварзина Татьяна</t>
  </si>
  <si>
    <t>св68ж</t>
  </si>
  <si>
    <t>Романова Юлия</t>
  </si>
  <si>
    <t>63ж</t>
  </si>
  <si>
    <t>Крылова Татьяна</t>
  </si>
  <si>
    <t>68ж</t>
  </si>
  <si>
    <t>Чиркова Лиза</t>
  </si>
  <si>
    <t>Баюкова Инна</t>
  </si>
  <si>
    <t>Гетманская Светлана</t>
  </si>
  <si>
    <t>Мащенко Дарья</t>
  </si>
  <si>
    <t>Ванюшкина Наталья</t>
  </si>
  <si>
    <t>Чалышева Екатерина</t>
  </si>
  <si>
    <t xml:space="preserve">Фадина Татьяна </t>
  </si>
  <si>
    <t>Бевз Виктория</t>
  </si>
  <si>
    <t>Бажанова Елена</t>
  </si>
  <si>
    <t>Кирюшина Наталья</t>
  </si>
  <si>
    <t>Рыжова Людмила</t>
  </si>
  <si>
    <t>Абазина Елена</t>
  </si>
  <si>
    <t>Киселева Татьяна</t>
  </si>
  <si>
    <t>Бураева Галина</t>
  </si>
  <si>
    <t>Ерганова Валентина</t>
  </si>
  <si>
    <t>Гольтяпина Юлия</t>
  </si>
  <si>
    <t>Загребина Наталья</t>
  </si>
  <si>
    <t>П Р О Т О К О Л 
соревнований    ЖЕНЩИНЫ ДОЯРЫ Ы</t>
  </si>
  <si>
    <t xml:space="preserve">16баш </t>
  </si>
  <si>
    <t>17баш</t>
  </si>
  <si>
    <t>Маношина Татьяна</t>
  </si>
  <si>
    <t>Великородкова Наталья</t>
  </si>
  <si>
    <t xml:space="preserve">Рыжова Елена </t>
  </si>
  <si>
    <t>Павлова Наталья</t>
  </si>
  <si>
    <t>Лавнова Юлия</t>
  </si>
  <si>
    <t>Парменов Павел</t>
  </si>
  <si>
    <t>63м</t>
  </si>
  <si>
    <t>73м</t>
  </si>
  <si>
    <t>Жуков Александр</t>
  </si>
  <si>
    <t>Макаров Евгений</t>
  </si>
  <si>
    <t>78м</t>
  </si>
  <si>
    <t>Киселев Сергей</t>
  </si>
  <si>
    <t>Синцев Игорь</t>
  </si>
  <si>
    <t>68м</t>
  </si>
  <si>
    <t>Елисеев Максим</t>
  </si>
  <si>
    <t>св95м</t>
  </si>
  <si>
    <t>Ляпков Александр</t>
  </si>
  <si>
    <t>Болтов Сергей</t>
  </si>
  <si>
    <t>Петряев Андрей</t>
  </si>
  <si>
    <t>85м</t>
  </si>
  <si>
    <t>Митрошкин Игорь</t>
  </si>
  <si>
    <t>Миронов Сергей</t>
  </si>
  <si>
    <t>Агафонов Борис</t>
  </si>
  <si>
    <t>95м</t>
  </si>
  <si>
    <t>Спирягин Михаил</t>
  </si>
  <si>
    <t>Демин Эдуард</t>
  </si>
  <si>
    <t>Лежнев Сергей</t>
  </si>
  <si>
    <t>Жиляев Дмитрий</t>
  </si>
  <si>
    <t>Лемаев Дмитрий</t>
  </si>
  <si>
    <t>Сериков Дмитрий</t>
  </si>
  <si>
    <t xml:space="preserve">85м </t>
  </si>
  <si>
    <t>Горельников Роман</t>
  </si>
  <si>
    <t>Никитин Федор</t>
  </si>
  <si>
    <t>Кондрашин Сергей</t>
  </si>
  <si>
    <t>Мурзаев Мурат</t>
  </si>
  <si>
    <t>Назаров Александр</t>
  </si>
  <si>
    <t>До 58 кг</t>
  </si>
  <si>
    <t>До 63 кг</t>
  </si>
  <si>
    <t>до 68 кг</t>
  </si>
  <si>
    <t>свыше 68 кг</t>
  </si>
  <si>
    <t>Вишняков Александр</t>
  </si>
  <si>
    <t>св95м4</t>
  </si>
  <si>
    <t>Потешкина Ирина</t>
  </si>
  <si>
    <t>Шарков М.</t>
  </si>
  <si>
    <t>Кондратьев Максим</t>
  </si>
  <si>
    <t>Муленко</t>
  </si>
  <si>
    <t>Белякова Анастасия</t>
  </si>
  <si>
    <t>Абрамова Оксана</t>
  </si>
  <si>
    <t>68ж4</t>
  </si>
  <si>
    <t>до 63 кг</t>
  </si>
  <si>
    <t>до 73 кг</t>
  </si>
  <si>
    <t>до 78 кг</t>
  </si>
  <si>
    <t>до 85 кг</t>
  </si>
  <si>
    <t>до 95 кг</t>
  </si>
  <si>
    <t>свыше 95 кг</t>
  </si>
  <si>
    <t>Медунов Сергей</t>
  </si>
  <si>
    <t>Абрамкин Валерий</t>
  </si>
  <si>
    <t>Кашаев Алмаз</t>
  </si>
  <si>
    <t>Кишкин Дмитрий</t>
  </si>
  <si>
    <t>Голомазов Денис</t>
  </si>
  <si>
    <t>95м5</t>
  </si>
  <si>
    <t>Якопов Дмитрий</t>
  </si>
  <si>
    <t>Надькин Николай</t>
  </si>
  <si>
    <t>св95м6</t>
  </si>
  <si>
    <t>31н</t>
  </si>
  <si>
    <t>11п</t>
  </si>
  <si>
    <t>12п</t>
  </si>
  <si>
    <t>Плавание</t>
  </si>
  <si>
    <t>Волейбол женщины</t>
  </si>
  <si>
    <t>Вплейбол мужчины</t>
  </si>
  <si>
    <t>Н/теннис</t>
  </si>
  <si>
    <t>Мини-футбол</t>
  </si>
  <si>
    <t>ГТО</t>
  </si>
  <si>
    <t>Областная Спартакиада среди ветеранов " Здоровье" в 2015 году</t>
  </si>
  <si>
    <t>с.Бессоновка</t>
  </si>
  <si>
    <t>24 октября 2015 года</t>
  </si>
  <si>
    <t xml:space="preserve">                           Ю.Н.Зенкин</t>
  </si>
  <si>
    <t>Н.Ломовский</t>
  </si>
  <si>
    <t xml:space="preserve">                                                                                                          </t>
  </si>
  <si>
    <t xml:space="preserve">                                                                         </t>
  </si>
  <si>
    <t>Главный секретарь соревнований                   Ю.Н.Зенкин</t>
  </si>
  <si>
    <t xml:space="preserve">Горбачев </t>
  </si>
  <si>
    <t>Барков</t>
  </si>
  <si>
    <t>Сорокина</t>
  </si>
  <si>
    <t>Кирюшина</t>
  </si>
  <si>
    <t>Банникова</t>
  </si>
  <si>
    <t>Медведева</t>
  </si>
  <si>
    <t>Ежижанский</t>
  </si>
  <si>
    <t>Мальцев</t>
  </si>
  <si>
    <t>Тарасова</t>
  </si>
  <si>
    <t>Каретникова</t>
  </si>
  <si>
    <t>Кондрашов</t>
  </si>
  <si>
    <t>Мезенов</t>
  </si>
  <si>
    <t>Токарев</t>
  </si>
  <si>
    <t>Пустовалов</t>
  </si>
  <si>
    <t>Аникина</t>
  </si>
  <si>
    <t>Павлова</t>
  </si>
  <si>
    <t>Коннов</t>
  </si>
  <si>
    <t>Лисин</t>
  </si>
  <si>
    <t>Малахова</t>
  </si>
  <si>
    <t>Соловьева</t>
  </si>
  <si>
    <t>Гадальцев</t>
  </si>
  <si>
    <t>Юдин</t>
  </si>
  <si>
    <t>Байкова</t>
  </si>
  <si>
    <t>Логинова</t>
  </si>
  <si>
    <t>Подтягивания/отжимания</t>
  </si>
  <si>
    <t>Прыжок</t>
  </si>
  <si>
    <t>Стрельба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</si>
</sst>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  <numFmt numFmtId="192" formatCode="0.0000"/>
  </numFmts>
  <fonts count="5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7030A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10" fillId="32" borderId="12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inden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2" borderId="10" xfId="0" applyFont="1" applyFill="1" applyBorder="1" applyAlignment="1">
      <alignment/>
    </xf>
    <xf numFmtId="0" fontId="0" fillId="10" borderId="0" xfId="0" applyFill="1" applyAlignment="1">
      <alignment/>
    </xf>
    <xf numFmtId="0" fontId="14" fillId="0" borderId="0" xfId="0" applyFont="1" applyAlignment="1">
      <alignment/>
    </xf>
    <xf numFmtId="0" fontId="1" fillId="10" borderId="0" xfId="0" applyFont="1" applyFill="1" applyAlignment="1">
      <alignment/>
    </xf>
    <xf numFmtId="0" fontId="8" fillId="10" borderId="0" xfId="0" applyFont="1" applyFill="1" applyAlignment="1">
      <alignment horizontal="center" vertical="center" wrapText="1"/>
    </xf>
    <xf numFmtId="0" fontId="7" fillId="10" borderId="0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/>
    </xf>
    <xf numFmtId="0" fontId="8" fillId="33" borderId="23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2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18" borderId="0" xfId="0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13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5" fillId="0" borderId="3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35" borderId="13" xfId="0" applyFont="1" applyFill="1" applyBorder="1" applyAlignment="1">
      <alignment vertical="top" wrapText="1"/>
    </xf>
    <xf numFmtId="0" fontId="0" fillId="0" borderId="31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 wrapText="1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3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6" fillId="0" borderId="40" xfId="0" applyFont="1" applyBorder="1" applyAlignment="1">
      <alignment wrapText="1"/>
    </xf>
    <xf numFmtId="0" fontId="0" fillId="0" borderId="41" xfId="0" applyFont="1" applyBorder="1" applyAlignment="1">
      <alignment/>
    </xf>
    <xf numFmtId="0" fontId="3" fillId="0" borderId="32" xfId="0" applyFont="1" applyBorder="1" applyAlignment="1">
      <alignment/>
    </xf>
    <xf numFmtId="0" fontId="8" fillId="34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0" borderId="42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/>
    </xf>
    <xf numFmtId="0" fontId="8" fillId="33" borderId="43" xfId="0" applyFont="1" applyFill="1" applyBorder="1" applyAlignment="1">
      <alignment horizontal="center" vertical="top"/>
    </xf>
    <xf numFmtId="0" fontId="8" fillId="33" borderId="44" xfId="0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7" fillId="0" borderId="45" xfId="0" applyFont="1" applyBorder="1" applyAlignment="1">
      <alignment/>
    </xf>
    <xf numFmtId="0" fontId="7" fillId="18" borderId="10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33" borderId="46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8" fillId="33" borderId="46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8" fillId="36" borderId="25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/>
    </xf>
    <xf numFmtId="0" fontId="8" fillId="34" borderId="22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/>
    </xf>
    <xf numFmtId="0" fontId="8" fillId="18" borderId="46" xfId="0" applyFont="1" applyFill="1" applyBorder="1" applyAlignment="1">
      <alignment horizontal="center" vertical="top" wrapText="1"/>
    </xf>
    <xf numFmtId="0" fontId="7" fillId="18" borderId="34" xfId="0" applyFont="1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8" fillId="35" borderId="46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7" fillId="35" borderId="46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6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46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horizontal="center" vertical="top"/>
    </xf>
    <xf numFmtId="0" fontId="8" fillId="36" borderId="45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89" fontId="1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7" fillId="0" borderId="5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35" borderId="22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/>
    </xf>
    <xf numFmtId="0" fontId="7" fillId="35" borderId="46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189" fontId="10" fillId="0" borderId="10" xfId="0" applyNumberFormat="1" applyFont="1" applyBorder="1" applyAlignment="1">
      <alignment vertical="top" wrapText="1"/>
    </xf>
    <xf numFmtId="0" fontId="6" fillId="33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189" fontId="0" fillId="0" borderId="10" xfId="0" applyNumberFormat="1" applyBorder="1" applyAlignment="1">
      <alignment horizontal="center" vertical="top"/>
    </xf>
    <xf numFmtId="0" fontId="7" fillId="35" borderId="10" xfId="0" applyFont="1" applyFill="1" applyBorder="1" applyAlignment="1">
      <alignment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89" fontId="1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 vertical="top" wrapText="1"/>
    </xf>
    <xf numFmtId="189" fontId="0" fillId="0" borderId="46" xfId="0" applyNumberFormat="1" applyBorder="1" applyAlignment="1">
      <alignment horizontal="center"/>
    </xf>
    <xf numFmtId="0" fontId="7" fillId="35" borderId="52" xfId="0" applyFont="1" applyFill="1" applyBorder="1" applyAlignment="1">
      <alignment vertical="top" wrapText="1"/>
    </xf>
    <xf numFmtId="189" fontId="10" fillId="0" borderId="52" xfId="0" applyNumberFormat="1" applyFont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21" fontId="0" fillId="0" borderId="10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189" fontId="10" fillId="0" borderId="13" xfId="0" applyNumberFormat="1" applyFont="1" applyBorder="1" applyAlignment="1">
      <alignment horizontal="left" vertical="top" wrapText="1"/>
    </xf>
    <xf numFmtId="189" fontId="0" fillId="0" borderId="10" xfId="0" applyNumberForma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6" fontId="0" fillId="0" borderId="10" xfId="0" applyNumberForma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21" fontId="0" fillId="0" borderId="13" xfId="0" applyNumberFormat="1" applyBorder="1" applyAlignment="1">
      <alignment horizontal="left"/>
    </xf>
    <xf numFmtId="0" fontId="7" fillId="35" borderId="10" xfId="0" applyFont="1" applyFill="1" applyBorder="1" applyAlignment="1">
      <alignment horizontal="left" vertical="top" wrapText="1"/>
    </xf>
    <xf numFmtId="189" fontId="10" fillId="0" borderId="10" xfId="0" applyNumberFormat="1" applyFont="1" applyBorder="1" applyAlignment="1">
      <alignment horizontal="left" vertical="top" wrapText="1"/>
    </xf>
    <xf numFmtId="0" fontId="8" fillId="33" borderId="5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54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0" fontId="8" fillId="33" borderId="55" xfId="0" applyFont="1" applyFill="1" applyBorder="1" applyAlignment="1">
      <alignment horizontal="center" vertical="top"/>
    </xf>
    <xf numFmtId="0" fontId="8" fillId="33" borderId="5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89" fontId="7" fillId="34" borderId="10" xfId="0" applyNumberFormat="1" applyFont="1" applyFill="1" applyBorder="1" applyAlignment="1">
      <alignment horizontal="center"/>
    </xf>
    <xf numFmtId="189" fontId="7" fillId="34" borderId="10" xfId="0" applyNumberFormat="1" applyFont="1" applyFill="1" applyBorder="1" applyAlignment="1">
      <alignment horizontal="center" vertical="top"/>
    </xf>
    <xf numFmtId="0" fontId="7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46" xfId="0" applyBorder="1" applyAlignment="1">
      <alignment/>
    </xf>
    <xf numFmtId="0" fontId="7" fillId="0" borderId="13" xfId="0" applyFont="1" applyFill="1" applyBorder="1" applyAlignment="1">
      <alignment vertical="top" wrapText="1"/>
    </xf>
    <xf numFmtId="189" fontId="10" fillId="0" borderId="13" xfId="0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/>
    </xf>
    <xf numFmtId="0" fontId="0" fillId="0" borderId="59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35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2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 vertical="top"/>
    </xf>
    <xf numFmtId="189" fontId="7" fillId="39" borderId="10" xfId="0" applyNumberFormat="1" applyFont="1" applyFill="1" applyBorder="1" applyAlignment="1">
      <alignment horizontal="center" vertical="top"/>
    </xf>
    <xf numFmtId="0" fontId="6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7" fillId="39" borderId="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7" fillId="39" borderId="10" xfId="0" applyFont="1" applyFill="1" applyBorder="1" applyAlignment="1">
      <alignment horizontal="center"/>
    </xf>
    <xf numFmtId="189" fontId="7" fillId="39" borderId="10" xfId="0" applyNumberFormat="1" applyFont="1" applyFill="1" applyBorder="1" applyAlignment="1">
      <alignment horizontal="center"/>
    </xf>
    <xf numFmtId="0" fontId="7" fillId="39" borderId="52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6" fillId="32" borderId="60" xfId="0" applyFont="1" applyFill="1" applyBorder="1" applyAlignment="1">
      <alignment vertical="top" textRotation="90" wrapText="1"/>
    </xf>
    <xf numFmtId="0" fontId="16" fillId="32" borderId="12" xfId="0" applyFont="1" applyFill="1" applyBorder="1" applyAlignment="1">
      <alignment vertical="top" textRotation="90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15" fillId="0" borderId="63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67" xfId="0" applyFont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2" fontId="2" fillId="0" borderId="39" xfId="0" applyNumberFormat="1" applyFont="1" applyBorder="1" applyAlignment="1">
      <alignment horizontal="center" wrapText="1"/>
    </xf>
    <xf numFmtId="0" fontId="2" fillId="0" borderId="39" xfId="0" applyNumberFormat="1" applyFont="1" applyBorder="1" applyAlignment="1">
      <alignment horizontal="center" wrapText="1"/>
    </xf>
    <xf numFmtId="14" fontId="0" fillId="0" borderId="16" xfId="0" applyNumberForma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5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7"/>
  <sheetViews>
    <sheetView view="pageBreakPreview" zoomScaleSheetLayoutView="100" zoomScalePageLayoutView="0" workbookViewId="0" topLeftCell="B1">
      <selection activeCell="F82" sqref="F82"/>
    </sheetView>
  </sheetViews>
  <sheetFormatPr defaultColWidth="9.140625" defaultRowHeight="12.75"/>
  <cols>
    <col min="1" max="1" width="9.421875" style="36" hidden="1" customWidth="1"/>
    <col min="2" max="2" width="32.57421875" style="0" customWidth="1"/>
    <col min="3" max="3" width="23.28125" style="0" customWidth="1"/>
    <col min="4" max="4" width="10.421875" style="8" customWidth="1"/>
    <col min="7" max="7" width="9.140625" style="8" customWidth="1"/>
    <col min="8" max="8" width="9.140625" style="36" customWidth="1"/>
    <col min="11" max="11" width="9.140625" style="36" customWidth="1"/>
    <col min="16" max="96" width="9.140625" style="0" hidden="1" customWidth="1"/>
  </cols>
  <sheetData>
    <row r="1" ht="19.5" thickBot="1">
      <c r="B1" s="23" t="s">
        <v>64</v>
      </c>
    </row>
    <row r="2" spans="1:96" ht="20.25" thickBot="1" thickTop="1">
      <c r="A2" s="153"/>
      <c r="B2" s="26" t="s">
        <v>53</v>
      </c>
      <c r="C2" s="21"/>
      <c r="D2" s="150" t="s">
        <v>15</v>
      </c>
      <c r="E2" s="67"/>
      <c r="F2" s="68"/>
      <c r="G2" s="150" t="s">
        <v>16</v>
      </c>
      <c r="H2" s="155"/>
      <c r="I2" s="68"/>
      <c r="J2" s="70" t="s">
        <v>17</v>
      </c>
      <c r="K2" s="155"/>
      <c r="L2" s="69"/>
      <c r="M2" s="44"/>
      <c r="N2" s="5"/>
      <c r="O2" s="5"/>
      <c r="Q2" s="28">
        <v>1</v>
      </c>
      <c r="R2" s="28">
        <v>2</v>
      </c>
      <c r="S2" s="28">
        <v>3</v>
      </c>
      <c r="T2" s="28">
        <v>4</v>
      </c>
      <c r="U2" s="28">
        <v>5</v>
      </c>
      <c r="V2" s="28">
        <v>6</v>
      </c>
      <c r="W2" s="28">
        <v>7</v>
      </c>
      <c r="X2" s="28">
        <v>8</v>
      </c>
      <c r="Y2" s="28">
        <v>9</v>
      </c>
      <c r="Z2" s="28">
        <v>10</v>
      </c>
      <c r="AA2" s="28">
        <v>11</v>
      </c>
      <c r="AB2" s="28">
        <v>12</v>
      </c>
      <c r="AC2" s="28">
        <v>13</v>
      </c>
      <c r="AD2" s="28">
        <v>14</v>
      </c>
      <c r="AE2" s="28">
        <v>15</v>
      </c>
      <c r="AF2" s="28">
        <v>16</v>
      </c>
      <c r="AG2" s="28">
        <v>17</v>
      </c>
      <c r="AH2" s="28">
        <v>18</v>
      </c>
      <c r="AI2" s="28">
        <v>19</v>
      </c>
      <c r="AJ2" s="28">
        <v>20</v>
      </c>
      <c r="AK2" s="28">
        <v>21</v>
      </c>
      <c r="AL2" s="28">
        <v>22</v>
      </c>
      <c r="AM2" s="28">
        <v>23</v>
      </c>
      <c r="AN2" s="28">
        <v>24</v>
      </c>
      <c r="AO2" s="28">
        <v>25</v>
      </c>
      <c r="AP2" s="28">
        <v>26</v>
      </c>
      <c r="AQ2" s="28">
        <v>27</v>
      </c>
      <c r="AR2" s="28">
        <v>28</v>
      </c>
      <c r="AS2" s="28">
        <v>29</v>
      </c>
      <c r="AT2" s="28">
        <v>30</v>
      </c>
      <c r="AU2" s="28">
        <v>31</v>
      </c>
      <c r="AV2" s="28">
        <v>32</v>
      </c>
      <c r="AW2" s="28">
        <v>33</v>
      </c>
      <c r="AX2" s="28">
        <v>34</v>
      </c>
      <c r="AY2" s="28">
        <v>35</v>
      </c>
      <c r="AZ2" s="28">
        <v>36</v>
      </c>
      <c r="BA2" s="28">
        <v>37</v>
      </c>
      <c r="BB2" s="28">
        <v>38</v>
      </c>
      <c r="BC2" s="28">
        <v>39</v>
      </c>
      <c r="BD2" s="28">
        <v>40</v>
      </c>
      <c r="BE2" s="28">
        <v>41</v>
      </c>
      <c r="BF2" s="28">
        <v>42</v>
      </c>
      <c r="BG2" s="28">
        <v>43</v>
      </c>
      <c r="BH2" s="28">
        <v>44</v>
      </c>
      <c r="BI2" s="28">
        <v>45</v>
      </c>
      <c r="BJ2" s="28">
        <v>46</v>
      </c>
      <c r="BK2" s="28">
        <v>47</v>
      </c>
      <c r="BL2" s="28">
        <v>48</v>
      </c>
      <c r="BM2" s="28">
        <v>49</v>
      </c>
      <c r="BN2" s="28">
        <v>50</v>
      </c>
      <c r="BO2" s="28">
        <v>51</v>
      </c>
      <c r="BP2" s="28">
        <v>52</v>
      </c>
      <c r="BQ2" s="28">
        <v>53</v>
      </c>
      <c r="BR2" s="28">
        <v>54</v>
      </c>
      <c r="BS2" s="28">
        <v>55</v>
      </c>
      <c r="BT2" s="28">
        <v>56</v>
      </c>
      <c r="BU2" s="28">
        <v>57</v>
      </c>
      <c r="BV2" s="28">
        <v>58</v>
      </c>
      <c r="BW2" s="28">
        <v>59</v>
      </c>
      <c r="BX2" s="28">
        <v>60</v>
      </c>
      <c r="BY2" s="28">
        <v>61</v>
      </c>
      <c r="BZ2" s="28">
        <v>62</v>
      </c>
      <c r="CA2" s="28">
        <v>63</v>
      </c>
      <c r="CB2" s="28">
        <v>64</v>
      </c>
      <c r="CC2" s="28">
        <v>65</v>
      </c>
      <c r="CD2" s="28">
        <v>66</v>
      </c>
      <c r="CE2" s="28">
        <v>67</v>
      </c>
      <c r="CF2" s="28">
        <v>68</v>
      </c>
      <c r="CG2" s="28">
        <v>69</v>
      </c>
      <c r="CH2" s="28">
        <v>70</v>
      </c>
      <c r="CI2" s="28">
        <v>71</v>
      </c>
      <c r="CJ2" s="28">
        <v>72</v>
      </c>
      <c r="CK2" s="28">
        <v>73</v>
      </c>
      <c r="CL2" s="28">
        <v>74</v>
      </c>
      <c r="CM2" s="28">
        <v>75</v>
      </c>
      <c r="CN2" s="28">
        <v>76</v>
      </c>
      <c r="CO2" s="28">
        <v>77</v>
      </c>
      <c r="CP2" s="28">
        <v>78</v>
      </c>
      <c r="CQ2" s="28">
        <v>79</v>
      </c>
      <c r="CR2" s="28">
        <v>80</v>
      </c>
    </row>
    <row r="3" spans="1:96" ht="64.5" thickBot="1" thickTop="1">
      <c r="A3" s="154" t="s">
        <v>55</v>
      </c>
      <c r="B3" s="27" t="s">
        <v>54</v>
      </c>
      <c r="C3" s="58" t="s">
        <v>6</v>
      </c>
      <c r="D3" s="59" t="s">
        <v>47</v>
      </c>
      <c r="E3" s="60"/>
      <c r="F3" s="61" t="s">
        <v>1</v>
      </c>
      <c r="G3" s="59" t="s">
        <v>47</v>
      </c>
      <c r="H3" s="156" t="s">
        <v>7</v>
      </c>
      <c r="I3" s="61" t="s">
        <v>1</v>
      </c>
      <c r="J3" s="59" t="s">
        <v>47</v>
      </c>
      <c r="K3" s="156" t="s">
        <v>7</v>
      </c>
      <c r="L3" s="128" t="s">
        <v>1</v>
      </c>
      <c r="M3" s="129" t="s">
        <v>72</v>
      </c>
      <c r="N3" s="127"/>
      <c r="O3" s="127"/>
      <c r="Q3" s="28">
        <v>120</v>
      </c>
      <c r="R3" s="28">
        <v>108</v>
      </c>
      <c r="S3" s="28">
        <v>98</v>
      </c>
      <c r="T3" s="28">
        <v>90</v>
      </c>
      <c r="U3" s="28">
        <v>85</v>
      </c>
      <c r="V3" s="28">
        <v>82</v>
      </c>
      <c r="W3" s="28">
        <v>79</v>
      </c>
      <c r="X3" s="28">
        <v>76</v>
      </c>
      <c r="Y3" s="28">
        <v>74</v>
      </c>
      <c r="Z3" s="28">
        <v>72</v>
      </c>
      <c r="AA3" s="28">
        <v>70</v>
      </c>
      <c r="AB3" s="28">
        <v>69</v>
      </c>
      <c r="AC3" s="28">
        <v>68</v>
      </c>
      <c r="AD3" s="28">
        <v>67</v>
      </c>
      <c r="AE3" s="28">
        <v>66</v>
      </c>
      <c r="AF3" s="28">
        <v>65</v>
      </c>
      <c r="AG3" s="28">
        <v>64</v>
      </c>
      <c r="AH3" s="28">
        <v>63</v>
      </c>
      <c r="AI3" s="28">
        <v>62</v>
      </c>
      <c r="AJ3" s="28">
        <v>61</v>
      </c>
      <c r="AK3" s="28">
        <v>60</v>
      </c>
      <c r="AL3" s="28">
        <v>59</v>
      </c>
      <c r="AM3" s="28">
        <v>58</v>
      </c>
      <c r="AN3" s="28">
        <v>57</v>
      </c>
      <c r="AO3" s="28">
        <v>56</v>
      </c>
      <c r="AP3" s="28">
        <v>55</v>
      </c>
      <c r="AQ3" s="28">
        <v>54</v>
      </c>
      <c r="AR3" s="28">
        <v>53</v>
      </c>
      <c r="AS3" s="28">
        <v>52</v>
      </c>
      <c r="AT3" s="28">
        <v>51</v>
      </c>
      <c r="AU3" s="28">
        <v>50</v>
      </c>
      <c r="AV3" s="28">
        <v>49</v>
      </c>
      <c r="AW3" s="28">
        <v>48</v>
      </c>
      <c r="AX3" s="28">
        <v>47</v>
      </c>
      <c r="AY3" s="28">
        <v>46</v>
      </c>
      <c r="AZ3" s="28">
        <v>45</v>
      </c>
      <c r="BA3" s="28">
        <v>44</v>
      </c>
      <c r="BB3" s="28">
        <v>43</v>
      </c>
      <c r="BC3" s="28">
        <v>42</v>
      </c>
      <c r="BD3" s="28">
        <v>41</v>
      </c>
      <c r="BE3" s="28">
        <v>40</v>
      </c>
      <c r="BF3" s="28">
        <v>39</v>
      </c>
      <c r="BG3" s="28">
        <v>38</v>
      </c>
      <c r="BH3" s="28">
        <v>37</v>
      </c>
      <c r="BI3" s="28">
        <v>36</v>
      </c>
      <c r="BJ3" s="28">
        <v>35</v>
      </c>
      <c r="BK3" s="28">
        <v>34</v>
      </c>
      <c r="BL3" s="28">
        <v>33</v>
      </c>
      <c r="BM3" s="28">
        <v>32</v>
      </c>
      <c r="BN3" s="28">
        <v>31</v>
      </c>
      <c r="BO3" s="28">
        <v>30</v>
      </c>
      <c r="BP3" s="28">
        <v>29</v>
      </c>
      <c r="BQ3" s="28">
        <v>28</v>
      </c>
      <c r="BR3" s="28">
        <v>27</v>
      </c>
      <c r="BS3" s="28">
        <v>26</v>
      </c>
      <c r="BT3" s="28">
        <v>25</v>
      </c>
      <c r="BU3" s="28">
        <v>24</v>
      </c>
      <c r="BV3" s="28">
        <v>23</v>
      </c>
      <c r="BW3" s="28">
        <v>22</v>
      </c>
      <c r="BX3" s="28">
        <v>21</v>
      </c>
      <c r="BY3" s="28">
        <v>20</v>
      </c>
      <c r="BZ3" s="28">
        <v>19</v>
      </c>
      <c r="CA3" s="28">
        <v>18</v>
      </c>
      <c r="CB3" s="28">
        <v>17</v>
      </c>
      <c r="CC3" s="28">
        <v>16</v>
      </c>
      <c r="CD3" s="28">
        <v>15</v>
      </c>
      <c r="CE3" s="28">
        <v>14</v>
      </c>
      <c r="CF3" s="28">
        <v>13</v>
      </c>
      <c r="CG3" s="28">
        <v>12</v>
      </c>
      <c r="CH3" s="28">
        <v>11</v>
      </c>
      <c r="CI3" s="28">
        <v>10</v>
      </c>
      <c r="CJ3" s="28">
        <v>9</v>
      </c>
      <c r="CK3" s="28">
        <v>8</v>
      </c>
      <c r="CL3" s="28">
        <v>7</v>
      </c>
      <c r="CM3" s="28">
        <v>6</v>
      </c>
      <c r="CN3" s="28">
        <v>5</v>
      </c>
      <c r="CO3" s="28">
        <v>4</v>
      </c>
      <c r="CP3" s="28">
        <v>3</v>
      </c>
      <c r="CQ3" s="28">
        <v>2</v>
      </c>
      <c r="CR3" s="28">
        <v>1</v>
      </c>
    </row>
    <row r="4" spans="1:96" ht="15.75">
      <c r="A4" s="154"/>
      <c r="B4" s="27" t="s">
        <v>382</v>
      </c>
      <c r="C4" s="58"/>
      <c r="D4" s="247"/>
      <c r="E4" s="248"/>
      <c r="F4" s="249"/>
      <c r="G4" s="247"/>
      <c r="H4" s="250"/>
      <c r="I4" s="249"/>
      <c r="J4" s="247"/>
      <c r="K4" s="250"/>
      <c r="L4" s="251"/>
      <c r="M4" s="252"/>
      <c r="N4" s="127"/>
      <c r="O4" s="127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</row>
    <row r="5" spans="1:18" ht="15.75">
      <c r="A5" s="76" t="str">
        <f>'гири  база  команд '!A81</f>
        <v>63м1</v>
      </c>
      <c r="B5" s="14" t="str">
        <f>VLOOKUP(A5,'гири  база  команд '!$A$4:$F185,5,FALSE)</f>
        <v>Макаров Евгений</v>
      </c>
      <c r="C5" s="14" t="str">
        <f>VLOOKUP(A5,'гири  база  команд '!$A$4:$F185,6,FALSE)</f>
        <v>Мокшанский</v>
      </c>
      <c r="D5" s="151"/>
      <c r="E5" s="14"/>
      <c r="F5" s="62"/>
      <c r="G5" s="151"/>
      <c r="H5" s="74">
        <v>1</v>
      </c>
      <c r="I5" s="62">
        <f>LOOKUP(H5,$Q$2:$CR$2,$Q$3:$CR$3)</f>
        <v>120</v>
      </c>
      <c r="J5" s="63">
        <f>G5+D5</f>
        <v>0</v>
      </c>
      <c r="K5" s="74">
        <v>1</v>
      </c>
      <c r="L5" s="57">
        <f>LOOKUP(K5,$Q$2:$CR$2,$Q$3:$CR$3)</f>
        <v>120</v>
      </c>
      <c r="M5" s="130">
        <f>I5+L5</f>
        <v>240</v>
      </c>
      <c r="N5" s="81"/>
      <c r="O5" s="81"/>
      <c r="Q5" s="84"/>
      <c r="R5" s="5"/>
    </row>
    <row r="6" spans="1:18" ht="15.75">
      <c r="A6" s="76" t="str">
        <f>'гири  база  команд '!A96</f>
        <v>63м2</v>
      </c>
      <c r="B6" s="14" t="str">
        <f>VLOOKUP(A6,'гири  база  команд '!$A$4:$F200,5,FALSE)</f>
        <v>Парменов Павел</v>
      </c>
      <c r="C6" s="14" t="str">
        <f>VLOOKUP(A6,'гири  база  команд '!$A$4:$F200,6,FALSE)</f>
        <v>Пачелмский</v>
      </c>
      <c r="D6" s="151"/>
      <c r="E6" s="15"/>
      <c r="F6" s="62"/>
      <c r="G6" s="151"/>
      <c r="H6" s="74">
        <v>2</v>
      </c>
      <c r="I6" s="62">
        <f>LOOKUP(H6,$Q$2:$CR$2,$Q$3:$CR$3)</f>
        <v>108</v>
      </c>
      <c r="J6" s="63">
        <f>G6+D6</f>
        <v>0</v>
      </c>
      <c r="K6" s="74">
        <v>2</v>
      </c>
      <c r="L6" s="57">
        <f>LOOKUP(K6,$Q$2:$CR$2,$Q$3:$CR$3)</f>
        <v>108</v>
      </c>
      <c r="M6" s="130">
        <f>I6+L6</f>
        <v>216</v>
      </c>
      <c r="N6" s="81"/>
      <c r="O6" s="81"/>
      <c r="Q6" s="84"/>
      <c r="R6" s="5"/>
    </row>
    <row r="7" spans="1:18" ht="15.75">
      <c r="A7" s="76"/>
      <c r="B7" s="7" t="s">
        <v>371</v>
      </c>
      <c r="C7" s="14"/>
      <c r="D7" s="151"/>
      <c r="E7" s="14"/>
      <c r="F7" s="62"/>
      <c r="G7" s="151"/>
      <c r="H7" s="74"/>
      <c r="I7" s="62"/>
      <c r="J7" s="63"/>
      <c r="K7" s="74"/>
      <c r="L7" s="57"/>
      <c r="M7" s="130"/>
      <c r="N7" s="81"/>
      <c r="O7" s="81"/>
      <c r="Q7" s="84"/>
      <c r="R7" s="5"/>
    </row>
    <row r="8" spans="1:18" ht="15.75">
      <c r="A8" s="76" t="str">
        <f>'гири  база  команд '!A76</f>
        <v>68м2</v>
      </c>
      <c r="B8" s="14" t="str">
        <f>VLOOKUP(A8,'гири  база  команд '!$A$4:$F180,5,FALSE)</f>
        <v>Елисеев Максим</v>
      </c>
      <c r="C8" s="14" t="str">
        <f>VLOOKUP(A8,'гири  база  команд '!$A$4:$F180,6,FALSE)</f>
        <v>Нижнеломовский</v>
      </c>
      <c r="D8" s="151"/>
      <c r="E8" s="14"/>
      <c r="F8" s="62"/>
      <c r="G8" s="151"/>
      <c r="H8" s="74">
        <v>1</v>
      </c>
      <c r="I8" s="62">
        <f>LOOKUP(H8,$Q$2:$CR$2,$Q$3:$CR$3)</f>
        <v>120</v>
      </c>
      <c r="J8" s="63">
        <f>G8+D8</f>
        <v>0</v>
      </c>
      <c r="K8" s="74">
        <v>1</v>
      </c>
      <c r="L8" s="57">
        <f>LOOKUP(K8,$Q$2:$CR$2,$Q$3:$CR$3)</f>
        <v>120</v>
      </c>
      <c r="M8" s="130">
        <f>I8+L8</f>
        <v>240</v>
      </c>
      <c r="N8" s="81"/>
      <c r="O8" s="81"/>
      <c r="Q8" s="84"/>
      <c r="R8" s="5"/>
    </row>
    <row r="9" spans="1:18" ht="15.75">
      <c r="A9" s="76" t="str">
        <f>'гири  база  команд '!A26</f>
        <v>68м1</v>
      </c>
      <c r="B9" s="14" t="str">
        <f>VLOOKUP(A9,'гири  база  команд '!$A$4:$F130,5,FALSE)</f>
        <v>Болтов Сергей</v>
      </c>
      <c r="C9" s="14" t="str">
        <f>VLOOKUP(A9,'гири  база  команд '!$A$4:$F130,6,FALSE)</f>
        <v>Неверкинский</v>
      </c>
      <c r="D9" s="151"/>
      <c r="E9" s="14"/>
      <c r="F9" s="62"/>
      <c r="G9" s="151"/>
      <c r="H9" s="74">
        <v>2</v>
      </c>
      <c r="I9" s="62">
        <f>LOOKUP(H9,$Q$2:$CR$2,$Q$3:$CR$3)</f>
        <v>108</v>
      </c>
      <c r="J9" s="63">
        <f>G9+D9</f>
        <v>0</v>
      </c>
      <c r="K9" s="74">
        <v>2</v>
      </c>
      <c r="L9" s="57">
        <f>LOOKUP(K9,$Q$2:$CR$2,$Q$3:$CR$3)</f>
        <v>108</v>
      </c>
      <c r="M9" s="130">
        <f>I9+L9</f>
        <v>216</v>
      </c>
      <c r="N9" s="81"/>
      <c r="O9" s="81"/>
      <c r="Q9" s="84"/>
      <c r="R9" s="5"/>
    </row>
    <row r="10" spans="1:18" ht="15.75">
      <c r="A10" s="76"/>
      <c r="B10" s="7" t="s">
        <v>383</v>
      </c>
      <c r="C10" s="14"/>
      <c r="D10" s="151"/>
      <c r="E10" s="14"/>
      <c r="F10" s="62"/>
      <c r="G10" s="151"/>
      <c r="H10" s="74"/>
      <c r="I10" s="62"/>
      <c r="J10" s="63"/>
      <c r="K10" s="74"/>
      <c r="L10" s="57"/>
      <c r="M10" s="130"/>
      <c r="N10" s="81"/>
      <c r="O10" s="81"/>
      <c r="Q10" s="84"/>
      <c r="R10" s="5"/>
    </row>
    <row r="11" spans="1:18" ht="15.75">
      <c r="A11" s="76" t="str">
        <f>'гири  база  команд '!A36</f>
        <v>73м1</v>
      </c>
      <c r="B11" s="14" t="str">
        <f>VLOOKUP(A11,'гири  база  команд '!$A$4:$F140,5,FALSE)</f>
        <v>Медунов Сергей</v>
      </c>
      <c r="C11" s="14" t="str">
        <f>VLOOKUP(A11,'гири  база  команд '!$A$4:$F140,6,FALSE)</f>
        <v>Колышлейский</v>
      </c>
      <c r="D11" s="151"/>
      <c r="E11" s="14"/>
      <c r="F11" s="62"/>
      <c r="G11" s="151"/>
      <c r="H11" s="74">
        <v>1</v>
      </c>
      <c r="I11" s="62">
        <f>LOOKUP(H11,$Q$2:$CR$2,$Q$3:$CR$3)</f>
        <v>120</v>
      </c>
      <c r="J11" s="63">
        <f>G11+D11</f>
        <v>0</v>
      </c>
      <c r="K11" s="74">
        <v>1</v>
      </c>
      <c r="L11" s="57">
        <f>LOOKUP(K11,$Q$2:$CR$2,$Q$3:$CR$3)</f>
        <v>120</v>
      </c>
      <c r="M11" s="130">
        <f>I11+L11</f>
        <v>240</v>
      </c>
      <c r="N11" s="81"/>
      <c r="O11" s="81"/>
      <c r="Q11" s="84"/>
      <c r="R11" s="5"/>
    </row>
    <row r="12" spans="1:18" ht="15.75">
      <c r="A12" s="76" t="str">
        <f>'гири  база  команд '!A41</f>
        <v>73м2</v>
      </c>
      <c r="B12" s="14" t="str">
        <f>VLOOKUP(A12,'гири  база  команд '!$A$4:$F145,5,FALSE)</f>
        <v>Кашаев Алмаз</v>
      </c>
      <c r="C12" s="14" t="str">
        <f>VLOOKUP(A12,'гири  база  команд '!$A$4:$F145,6,FALSE)</f>
        <v>Кузнецкий</v>
      </c>
      <c r="D12" s="151"/>
      <c r="E12" s="14"/>
      <c r="F12" s="62"/>
      <c r="G12" s="151"/>
      <c r="H12" s="74">
        <v>2</v>
      </c>
      <c r="I12" s="62">
        <f>LOOKUP(H12,$Q$2:$CR$2,$Q$3:$CR$3)</f>
        <v>108</v>
      </c>
      <c r="J12" s="63">
        <f>G12+D12</f>
        <v>0</v>
      </c>
      <c r="K12" s="74">
        <v>2</v>
      </c>
      <c r="L12" s="57">
        <f>LOOKUP(K12,$Q$2:$CR$2,$Q$3:$CR$3)</f>
        <v>108</v>
      </c>
      <c r="M12" s="130">
        <f>I12+L12</f>
        <v>216</v>
      </c>
      <c r="N12" s="81"/>
      <c r="O12" s="81"/>
      <c r="Q12" s="84"/>
      <c r="R12" s="5"/>
    </row>
    <row r="13" spans="1:18" ht="15.75">
      <c r="A13" s="76" t="str">
        <f>'гири  база  команд '!A56</f>
        <v>73м3</v>
      </c>
      <c r="B13" s="14" t="str">
        <f>VLOOKUP(A13,'гири  база  команд '!$A$4:$F160,5,FALSE)</f>
        <v>Абрамкин Валерий</v>
      </c>
      <c r="C13" s="14" t="str">
        <f>VLOOKUP(A13,'гири  база  команд '!$A$4:$F160,6,FALSE)</f>
        <v>Бековский</v>
      </c>
      <c r="D13" s="151"/>
      <c r="E13" s="14"/>
      <c r="F13" s="62"/>
      <c r="G13" s="151"/>
      <c r="H13" s="74">
        <v>4</v>
      </c>
      <c r="I13" s="62">
        <f>LOOKUP(H13,$Q$2:$CR$2,$Q$3:$CR$3)</f>
        <v>90</v>
      </c>
      <c r="J13" s="63">
        <f>G13+D13</f>
        <v>0</v>
      </c>
      <c r="K13" s="74">
        <v>3</v>
      </c>
      <c r="L13" s="57">
        <f>LOOKUP(K13,$Q$2:$CR$2,$Q$3:$CR$3)</f>
        <v>98</v>
      </c>
      <c r="M13" s="130">
        <f>I13+L13</f>
        <v>188</v>
      </c>
      <c r="N13" s="81"/>
      <c r="O13" s="81"/>
      <c r="Q13" s="84"/>
      <c r="R13" s="5"/>
    </row>
    <row r="14" spans="1:18" ht="15.75">
      <c r="A14" s="76" t="str">
        <f>'гири  база  команд '!A66</f>
        <v>73м4</v>
      </c>
      <c r="B14" s="14" t="str">
        <f>VLOOKUP(A14,'гири  база  команд '!$A$4:$F170,5,FALSE)</f>
        <v>Миронов Сергей</v>
      </c>
      <c r="C14" s="14" t="str">
        <f>VLOOKUP(A14,'гири  база  команд '!$A$4:$F170,6,FALSE)</f>
        <v>Вадинский</v>
      </c>
      <c r="D14" s="151"/>
      <c r="E14" s="14"/>
      <c r="F14" s="62"/>
      <c r="G14" s="151"/>
      <c r="H14" s="74">
        <v>3</v>
      </c>
      <c r="I14" s="62">
        <f>LOOKUP(H14,$Q$2:$CR$2,$Q$3:$CR$3)</f>
        <v>98</v>
      </c>
      <c r="J14" s="63">
        <f>G14+D14</f>
        <v>0</v>
      </c>
      <c r="K14" s="74">
        <v>4</v>
      </c>
      <c r="L14" s="57">
        <f>LOOKUP(K14,$Q$2:$CR$2,$Q$3:$CR$3)</f>
        <v>90</v>
      </c>
      <c r="M14" s="130">
        <f>I14+L14</f>
        <v>188</v>
      </c>
      <c r="N14" s="81"/>
      <c r="O14" s="81"/>
      <c r="Q14" s="84"/>
      <c r="R14" s="5"/>
    </row>
    <row r="15" spans="1:18" ht="15.75">
      <c r="A15" s="76" t="str">
        <f>'гири  база  команд '!A97</f>
        <v>73м5</v>
      </c>
      <c r="B15" s="14" t="str">
        <f>VLOOKUP(A15,'гири  база  команд '!$A$4:$F201,5,FALSE)</f>
        <v>Жуков Александр</v>
      </c>
      <c r="C15" s="14" t="str">
        <f>VLOOKUP(A15,'гири  база  команд '!$A$4:$F201,6,FALSE)</f>
        <v>Пачелмский</v>
      </c>
      <c r="D15" s="151"/>
      <c r="E15" s="14"/>
      <c r="F15" s="62"/>
      <c r="G15" s="151"/>
      <c r="H15" s="74">
        <v>5</v>
      </c>
      <c r="I15" s="62">
        <f>LOOKUP(H15,$Q$2:$CR$2,$Q$3:$CR$3)</f>
        <v>85</v>
      </c>
      <c r="J15" s="63">
        <f>G15+D15</f>
        <v>0</v>
      </c>
      <c r="K15" s="74">
        <v>5</v>
      </c>
      <c r="L15" s="57">
        <f>LOOKUP(K15,$Q$2:$CR$2,$Q$3:$CR$3)</f>
        <v>85</v>
      </c>
      <c r="M15" s="130">
        <f>I15+L15</f>
        <v>170</v>
      </c>
      <c r="N15" s="81"/>
      <c r="O15" s="81"/>
      <c r="Q15" s="84"/>
      <c r="R15" s="5"/>
    </row>
    <row r="16" spans="1:18" ht="15.75">
      <c r="A16" s="76"/>
      <c r="B16" s="7" t="s">
        <v>384</v>
      </c>
      <c r="C16" s="14"/>
      <c r="D16" s="151"/>
      <c r="E16" s="14"/>
      <c r="F16" s="62"/>
      <c r="G16" s="151"/>
      <c r="H16" s="74"/>
      <c r="I16" s="62"/>
      <c r="J16" s="63"/>
      <c r="K16" s="74"/>
      <c r="L16" s="57"/>
      <c r="M16" s="130"/>
      <c r="N16" s="81"/>
      <c r="O16" s="81"/>
      <c r="Q16" s="84"/>
      <c r="R16" s="5"/>
    </row>
    <row r="17" spans="1:18" ht="15.75">
      <c r="A17" s="76" t="str">
        <f>'гири  база  команд '!A82</f>
        <v>78м2</v>
      </c>
      <c r="B17" s="14" t="str">
        <f>VLOOKUP(A17,'гири  база  команд '!$A$4:$F186,5,FALSE)</f>
        <v>Киселев Сергей</v>
      </c>
      <c r="C17" s="14" t="str">
        <f>VLOOKUP(A17,'гири  база  команд '!$A$4:$F186,6,FALSE)</f>
        <v>Мокшанский</v>
      </c>
      <c r="D17" s="151"/>
      <c r="E17" s="14"/>
      <c r="F17" s="62"/>
      <c r="G17" s="151"/>
      <c r="H17" s="74">
        <v>1</v>
      </c>
      <c r="I17" s="62">
        <f>LOOKUP(H17,$Q$2:$CR$2,$Q$3:$CR$3)</f>
        <v>120</v>
      </c>
      <c r="J17" s="63">
        <f>G17+D17</f>
        <v>0</v>
      </c>
      <c r="K17" s="74">
        <v>1</v>
      </c>
      <c r="L17" s="57">
        <f>LOOKUP(K17,$Q$2:$CR$2,$Q$3:$CR$3)</f>
        <v>120</v>
      </c>
      <c r="M17" s="130">
        <f>I17+L17</f>
        <v>240</v>
      </c>
      <c r="N17" s="81"/>
      <c r="O17" s="81"/>
      <c r="Q17" s="84"/>
      <c r="R17" s="5"/>
    </row>
    <row r="18" spans="1:18" ht="15.75">
      <c r="A18" s="76" t="str">
        <f>'гири  база  команд '!A46</f>
        <v>78м1</v>
      </c>
      <c r="B18" s="14" t="str">
        <f>VLOOKUP(A18,'гири  база  команд '!$A$4:$F150,5,FALSE)</f>
        <v>Антошкин Дмитрий</v>
      </c>
      <c r="C18" s="14" t="str">
        <f>VLOOKUP(A18,'гири  база  команд '!$A$4:$F150,6,FALSE)</f>
        <v>Лопатинский</v>
      </c>
      <c r="D18" s="151"/>
      <c r="E18" s="14"/>
      <c r="F18" s="62"/>
      <c r="G18" s="151"/>
      <c r="H18" s="74">
        <v>2</v>
      </c>
      <c r="I18" s="62">
        <f>LOOKUP(H18,$Q$2:$CR$2,$Q$3:$CR$3)</f>
        <v>108</v>
      </c>
      <c r="J18" s="63">
        <f>G18+D18</f>
        <v>0</v>
      </c>
      <c r="K18" s="74">
        <v>2</v>
      </c>
      <c r="L18" s="57">
        <f>LOOKUP(K18,$Q$2:$CR$2,$Q$3:$CR$3)</f>
        <v>108</v>
      </c>
      <c r="M18" s="130">
        <f>I18+L18</f>
        <v>216</v>
      </c>
      <c r="N18" s="81"/>
      <c r="O18" s="81"/>
      <c r="Q18" s="84"/>
      <c r="R18" s="5"/>
    </row>
    <row r="19" spans="1:18" ht="15.75">
      <c r="A19" s="76"/>
      <c r="B19" s="7" t="s">
        <v>385</v>
      </c>
      <c r="C19" s="14"/>
      <c r="D19" s="151"/>
      <c r="E19" s="14"/>
      <c r="F19" s="62"/>
      <c r="G19" s="151"/>
      <c r="H19" s="74"/>
      <c r="I19" s="62"/>
      <c r="J19" s="63"/>
      <c r="K19" s="74"/>
      <c r="L19" s="57"/>
      <c r="M19" s="130"/>
      <c r="N19" s="81"/>
      <c r="O19" s="81"/>
      <c r="Q19" s="84"/>
      <c r="R19" s="5"/>
    </row>
    <row r="20" spans="1:18" ht="15.75">
      <c r="A20" s="76" t="str">
        <f>'гири  база  команд '!A42</f>
        <v>85м3</v>
      </c>
      <c r="B20" s="14" t="str">
        <f>VLOOKUP(A20,'гири  база  команд '!$A$4:$F146,5,FALSE)</f>
        <v>Митрошкин Игорь</v>
      </c>
      <c r="C20" s="14" t="str">
        <f>VLOOKUP(A20,'гири  база  команд '!$A$4:$F146,6,FALSE)</f>
        <v>Кузнецкий</v>
      </c>
      <c r="D20" s="151"/>
      <c r="E20" s="14"/>
      <c r="F20" s="62"/>
      <c r="G20" s="151"/>
      <c r="H20" s="74">
        <v>1</v>
      </c>
      <c r="I20" s="62">
        <f>LOOKUP(H20,$Q$2:$CR$2,$Q$3:$CR$3)</f>
        <v>120</v>
      </c>
      <c r="J20" s="63">
        <f>G20+D20</f>
        <v>0</v>
      </c>
      <c r="K20" s="74">
        <v>1</v>
      </c>
      <c r="L20" s="57">
        <f>LOOKUP(K20,$Q$2:$CR$2,$Q$3:$CR$3)</f>
        <v>120</v>
      </c>
      <c r="M20" s="130">
        <f>I20+L20</f>
        <v>240</v>
      </c>
      <c r="N20" s="81"/>
      <c r="O20" s="81"/>
      <c r="Q20" s="84"/>
      <c r="R20" s="5"/>
    </row>
    <row r="21" spans="1:18" ht="15.75">
      <c r="A21" s="76" t="str">
        <f>'гири  база  команд '!A11</f>
        <v>85м1</v>
      </c>
      <c r="B21" s="14" t="str">
        <f>VLOOKUP(A21,'гири  база  команд '!$A$4:$F115,5,FALSE)</f>
        <v>Жиляев Дмитрий</v>
      </c>
      <c r="C21" s="14" t="str">
        <f>VLOOKUP(A21,'гири  база  команд '!$A$4:$F115,6,FALSE)</f>
        <v>Никольский</v>
      </c>
      <c r="D21" s="151"/>
      <c r="E21" s="14"/>
      <c r="F21" s="62"/>
      <c r="G21" s="151"/>
      <c r="H21" s="74">
        <v>2</v>
      </c>
      <c r="I21" s="62">
        <f>LOOKUP(H21,$Q$2:$CR$2,$Q$3:$CR$3)</f>
        <v>108</v>
      </c>
      <c r="J21" s="63">
        <f>G21+D21</f>
        <v>0</v>
      </c>
      <c r="K21" s="74">
        <v>2</v>
      </c>
      <c r="L21" s="57">
        <f>LOOKUP(K21,$Q$2:$CR$2,$Q$3:$CR$3)</f>
        <v>108</v>
      </c>
      <c r="M21" s="130">
        <f>I21+L21</f>
        <v>216</v>
      </c>
      <c r="N21" s="81"/>
      <c r="O21" s="81"/>
      <c r="Q21" s="84"/>
      <c r="R21" s="5"/>
    </row>
    <row r="22" spans="1:18" ht="15.75">
      <c r="A22" s="76" t="str">
        <f>'гири  база  команд '!A47</f>
        <v>85м4</v>
      </c>
      <c r="B22" s="14" t="str">
        <f>VLOOKUP(A22,'гири  база  команд '!$A$4:$F151,5,FALSE)</f>
        <v>Демин Эдуард</v>
      </c>
      <c r="C22" s="14" t="str">
        <f>VLOOKUP(A22,'гири  база  команд '!$A$4:$F151,6,FALSE)</f>
        <v>Лопатинский</v>
      </c>
      <c r="D22" s="151"/>
      <c r="E22" s="14"/>
      <c r="F22" s="62"/>
      <c r="G22" s="151"/>
      <c r="H22" s="74">
        <v>3</v>
      </c>
      <c r="I22" s="62">
        <f>LOOKUP(H22,$Q$2:$CR$2,$Q$3:$CR$3)</f>
        <v>98</v>
      </c>
      <c r="J22" s="63">
        <f>G22+D22</f>
        <v>0</v>
      </c>
      <c r="K22" s="74">
        <v>3</v>
      </c>
      <c r="L22" s="57">
        <f>LOOKUP(K22,$Q$2:$CR$2,$Q$3:$CR$3)</f>
        <v>98</v>
      </c>
      <c r="M22" s="130">
        <f>I22+L22</f>
        <v>196</v>
      </c>
      <c r="N22" s="81"/>
      <c r="O22" s="81"/>
      <c r="Q22" s="84"/>
      <c r="R22" s="5"/>
    </row>
    <row r="23" spans="1:18" ht="15.75">
      <c r="A23" s="76" t="str">
        <f>'гири  база  команд '!A52</f>
        <v>85м 1</v>
      </c>
      <c r="B23" s="14" t="str">
        <f>VLOOKUP(A23,'гири  база  команд '!$A$4:$F156,5,FALSE)</f>
        <v>Сериков Дмитрий</v>
      </c>
      <c r="C23" s="14" t="str">
        <f>VLOOKUP(A23,'гири  база  команд '!$A$4:$F156,6,FALSE)</f>
        <v>Белинский</v>
      </c>
      <c r="D23" s="151"/>
      <c r="E23" s="14"/>
      <c r="F23" s="62"/>
      <c r="G23" s="151"/>
      <c r="H23" s="74">
        <v>4</v>
      </c>
      <c r="I23" s="62">
        <f>LOOKUP(H23,$Q$2:$CR$2,$Q$3:$CR$3)</f>
        <v>90</v>
      </c>
      <c r="J23" s="63">
        <f>G23+D23</f>
        <v>0</v>
      </c>
      <c r="K23" s="74">
        <v>4</v>
      </c>
      <c r="L23" s="57">
        <f>LOOKUP(K23,$Q$2:$CR$2,$Q$3:$CR$3)</f>
        <v>90</v>
      </c>
      <c r="M23" s="130">
        <f>I23+L23</f>
        <v>180</v>
      </c>
      <c r="N23" s="81"/>
      <c r="O23" s="81"/>
      <c r="Q23" s="84"/>
      <c r="R23" s="5"/>
    </row>
    <row r="24" spans="1:18" ht="15.75">
      <c r="A24" s="76" t="str">
        <f>'гири  база  команд '!A31</f>
        <v>85м2</v>
      </c>
      <c r="B24" s="14" t="str">
        <f>VLOOKUP(A24,'гири  база  команд '!$A$4:$F135,5,FALSE)</f>
        <v>Кишкин Дмитрий</v>
      </c>
      <c r="C24" s="14" t="str">
        <f>VLOOKUP(A24,'гири  база  команд '!$A$4:$F135,6,FALSE)</f>
        <v>Сердобский</v>
      </c>
      <c r="D24" s="151"/>
      <c r="E24" s="14"/>
      <c r="F24" s="62"/>
      <c r="G24" s="151"/>
      <c r="H24" s="74">
        <v>5</v>
      </c>
      <c r="I24" s="62">
        <f>LOOKUP(H24,$Q$2:$CR$2,$Q$3:$CR$3)</f>
        <v>85</v>
      </c>
      <c r="J24" s="63">
        <f>G24+D24</f>
        <v>0</v>
      </c>
      <c r="K24" s="74">
        <v>5</v>
      </c>
      <c r="L24" s="57">
        <f>LOOKUP(K24,$Q$2:$CR$2,$Q$3:$CR$3)</f>
        <v>85</v>
      </c>
      <c r="M24" s="130">
        <f>I24+L24</f>
        <v>170</v>
      </c>
      <c r="N24" s="81"/>
      <c r="O24" s="81"/>
      <c r="Q24" s="84"/>
      <c r="R24" s="5"/>
    </row>
    <row r="25" spans="1:18" ht="15.75">
      <c r="A25" s="76"/>
      <c r="B25" s="7" t="s">
        <v>386</v>
      </c>
      <c r="C25" s="14"/>
      <c r="D25" s="151"/>
      <c r="E25" s="14"/>
      <c r="F25" s="62"/>
      <c r="G25" s="151"/>
      <c r="H25" s="74"/>
      <c r="I25" s="62"/>
      <c r="J25" s="63"/>
      <c r="K25" s="74"/>
      <c r="L25" s="57"/>
      <c r="M25" s="130"/>
      <c r="N25" s="81"/>
      <c r="O25" s="81"/>
      <c r="Q25" s="84"/>
      <c r="R25" s="5"/>
    </row>
    <row r="26" spans="1:18" ht="15.75">
      <c r="A26" s="76" t="str">
        <f>'гири  база  команд '!A57</f>
        <v>95м4</v>
      </c>
      <c r="B26" s="14" t="str">
        <f>VLOOKUP(A26,'гири  база  команд '!$A$4:$F161,5,FALSE)</f>
        <v>Агафонов Борис</v>
      </c>
      <c r="C26" s="14" t="str">
        <f>VLOOKUP(A26,'гири  база  команд '!$A$4:$F161,6,FALSE)</f>
        <v>Бековский</v>
      </c>
      <c r="D26" s="151"/>
      <c r="E26" s="14"/>
      <c r="F26" s="62"/>
      <c r="G26" s="151"/>
      <c r="H26" s="74">
        <v>1</v>
      </c>
      <c r="I26" s="62">
        <f>LOOKUP(H26,$Q$2:$CR$2,$Q$3:$CR$3)</f>
        <v>120</v>
      </c>
      <c r="J26" s="63">
        <f>G26+D26</f>
        <v>0</v>
      </c>
      <c r="K26" s="74">
        <v>1</v>
      </c>
      <c r="L26" s="57">
        <f>LOOKUP(K26,$Q$2:$CR$2,$Q$3:$CR$3)</f>
        <v>120</v>
      </c>
      <c r="M26" s="130">
        <f>I26+L26</f>
        <v>240</v>
      </c>
      <c r="N26" s="81"/>
      <c r="O26" s="81"/>
      <c r="Q26" s="84"/>
      <c r="R26" s="5"/>
    </row>
    <row r="27" spans="1:18" ht="15.75">
      <c r="A27" s="76" t="str">
        <f>'гири  база  команд '!A37</f>
        <v>95м3</v>
      </c>
      <c r="B27" s="14" t="str">
        <f>VLOOKUP(A27,'гири  база  команд '!$A$4:$F141,5,FALSE)</f>
        <v>Спирягин Михаил</v>
      </c>
      <c r="C27" s="14" t="str">
        <f>VLOOKUP(A27,'гири  база  команд '!$A$4:$F141,6,FALSE)</f>
        <v>Колышлейский</v>
      </c>
      <c r="D27" s="151"/>
      <c r="E27" s="14"/>
      <c r="F27" s="62"/>
      <c r="G27" s="151"/>
      <c r="H27" s="74">
        <v>2</v>
      </c>
      <c r="I27" s="62">
        <f>LOOKUP(H27,$Q$2:$CR$2,$Q$3:$CR$3)</f>
        <v>108</v>
      </c>
      <c r="J27" s="63">
        <f>G27+D27</f>
        <v>0</v>
      </c>
      <c r="K27" s="74">
        <v>2</v>
      </c>
      <c r="L27" s="57">
        <f>LOOKUP(K27,$Q$2:$CR$2,$Q$3:$CR$3)</f>
        <v>108</v>
      </c>
      <c r="M27" s="130">
        <f>I27+L27</f>
        <v>216</v>
      </c>
      <c r="N27" s="81"/>
      <c r="O27" s="81"/>
      <c r="Q27" s="84"/>
      <c r="R27" s="5"/>
    </row>
    <row r="28" spans="1:18" ht="15.75">
      <c r="A28" s="76" t="s">
        <v>393</v>
      </c>
      <c r="B28" s="14" t="str">
        <f>VLOOKUP(A28,'гири  база  команд '!$A$4:$F250,5,FALSE)</f>
        <v>Голомазов Денис</v>
      </c>
      <c r="C28" s="14" t="str">
        <f>VLOOKUP(A28,'гири  база  команд '!$A$4:$F110,6,FALSE)</f>
        <v>Тамалинский</v>
      </c>
      <c r="D28" s="151"/>
      <c r="E28" s="14"/>
      <c r="F28" s="62"/>
      <c r="G28" s="151"/>
      <c r="H28" s="74">
        <v>4</v>
      </c>
      <c r="I28" s="62">
        <f>LOOKUP(H28,$Q$2:$CR$2,$Q$3:$CR$3)</f>
        <v>90</v>
      </c>
      <c r="J28" s="63">
        <f>G28+D28</f>
        <v>0</v>
      </c>
      <c r="K28" s="74">
        <v>3</v>
      </c>
      <c r="L28" s="57">
        <f>LOOKUP(K28,$Q$2:$CR$2,$Q$3:$CR$3)</f>
        <v>98</v>
      </c>
      <c r="M28" s="130">
        <f>I28+L28</f>
        <v>188</v>
      </c>
      <c r="N28" s="81"/>
      <c r="O28" s="81"/>
      <c r="Q28" s="84"/>
      <c r="R28" s="5"/>
    </row>
    <row r="29" spans="1:18" ht="15.75">
      <c r="A29" s="76" t="str">
        <f>'гири  база  команд '!A7</f>
        <v>95м1</v>
      </c>
      <c r="B29" s="14" t="str">
        <f>VLOOKUP(A29,'гири  база  команд '!$A$4:$F111,5,FALSE)</f>
        <v>Никитин Федор</v>
      </c>
      <c r="C29" s="14" t="str">
        <f>VLOOKUP(A29,'гири  база  команд '!$A$4:$F111,6,FALSE)</f>
        <v>Малосердобинский</v>
      </c>
      <c r="D29" s="151"/>
      <c r="E29" s="14"/>
      <c r="F29" s="62"/>
      <c r="G29" s="151"/>
      <c r="H29" s="74">
        <v>3</v>
      </c>
      <c r="I29" s="62">
        <f>LOOKUP(H29,$Q$2:$CR$2,$Q$3:$CR$3)</f>
        <v>98</v>
      </c>
      <c r="J29" s="63">
        <f>G29+D29</f>
        <v>0</v>
      </c>
      <c r="K29" s="74">
        <v>4</v>
      </c>
      <c r="L29" s="57">
        <f>LOOKUP(K29,$Q$2:$CR$2,$Q$3:$CR$3)</f>
        <v>90</v>
      </c>
      <c r="M29" s="130">
        <f>I29+L29</f>
        <v>188</v>
      </c>
      <c r="N29" s="81"/>
      <c r="O29" s="81"/>
      <c r="Q29" s="84"/>
      <c r="R29" s="5"/>
    </row>
    <row r="30" spans="1:18" ht="15.75">
      <c r="A30" s="76" t="str">
        <f>'гири  база  команд '!A32</f>
        <v>95м2</v>
      </c>
      <c r="B30" s="14" t="str">
        <f>VLOOKUP(A30,'гири  база  команд '!$A$4:$F136,5,FALSE)</f>
        <v>Лежнев Сергей</v>
      </c>
      <c r="C30" s="14" t="str">
        <f>VLOOKUP(A30,'гири  база  команд '!$A$4:$F136,6,FALSE)</f>
        <v>Сердобский</v>
      </c>
      <c r="D30" s="151"/>
      <c r="E30" s="14"/>
      <c r="F30" s="62"/>
      <c r="G30" s="151"/>
      <c r="H30" s="74">
        <v>5</v>
      </c>
      <c r="I30" s="62">
        <f>LOOKUP(H30,$Q$2:$CR$2,$Q$3:$CR$3)</f>
        <v>85</v>
      </c>
      <c r="J30" s="63">
        <f>G30+D30</f>
        <v>0</v>
      </c>
      <c r="K30" s="74">
        <v>5</v>
      </c>
      <c r="L30" s="57">
        <f>LOOKUP(K30,$Q$2:$CR$2,$Q$3:$CR$3)</f>
        <v>85</v>
      </c>
      <c r="M30" s="130">
        <f>I30+L30</f>
        <v>170</v>
      </c>
      <c r="N30" s="81"/>
      <c r="O30" s="81"/>
      <c r="Q30" s="84"/>
      <c r="R30" s="5"/>
    </row>
    <row r="31" spans="1:18" ht="15.75">
      <c r="A31" s="76"/>
      <c r="B31" s="7" t="s">
        <v>387</v>
      </c>
      <c r="C31" s="14"/>
      <c r="D31" s="151"/>
      <c r="E31" s="14"/>
      <c r="F31" s="62"/>
      <c r="G31" s="151"/>
      <c r="H31" s="74"/>
      <c r="I31" s="62"/>
      <c r="J31" s="63"/>
      <c r="K31" s="74"/>
      <c r="L31" s="57"/>
      <c r="M31" s="130"/>
      <c r="N31" s="81"/>
      <c r="O31" s="81"/>
      <c r="Q31" s="84"/>
      <c r="R31" s="5"/>
    </row>
    <row r="32" spans="1:18" ht="15.75">
      <c r="A32" s="76" t="str">
        <f>'гири  база  команд '!A77</f>
        <v>св95м9</v>
      </c>
      <c r="B32" s="14" t="str">
        <f>VLOOKUP(A32,'гири  база  команд '!$A$4:$F181,5,FALSE)</f>
        <v>Ляпков Александр</v>
      </c>
      <c r="C32" s="14" t="str">
        <f>VLOOKUP(A32,'гири  база  команд '!$A$4:$F181,6,FALSE)</f>
        <v>Нижнеломовский</v>
      </c>
      <c r="D32" s="151"/>
      <c r="E32" s="14"/>
      <c r="F32" s="62"/>
      <c r="G32" s="151"/>
      <c r="H32" s="74">
        <v>1</v>
      </c>
      <c r="I32" s="62">
        <f aca="true" t="shared" si="0" ref="I32:I40">LOOKUP(H32,$Q$2:$CR$2,$Q$3:$CR$3)</f>
        <v>120</v>
      </c>
      <c r="J32" s="63">
        <f aca="true" t="shared" si="1" ref="J32:J40">G32+D32</f>
        <v>0</v>
      </c>
      <c r="K32" s="74">
        <v>1</v>
      </c>
      <c r="L32" s="57">
        <f aca="true" t="shared" si="2" ref="L32:L40">LOOKUP(K32,$Q$2:$CR$2,$Q$3:$CR$3)</f>
        <v>120</v>
      </c>
      <c r="M32" s="130">
        <f aca="true" t="shared" si="3" ref="M32:M40">I32+L32</f>
        <v>240</v>
      </c>
      <c r="N32" s="81"/>
      <c r="O32" s="81"/>
      <c r="Q32" s="84"/>
      <c r="R32" s="5"/>
    </row>
    <row r="33" spans="1:18" ht="15.75">
      <c r="A33" s="76" t="str">
        <f>'гири  база  команд '!A12</f>
        <v>св95м2</v>
      </c>
      <c r="B33" s="14" t="str">
        <f>VLOOKUP(A33,'гири  база  команд '!$A$4:$F116,5,FALSE)</f>
        <v>Лемаев Дмитрий</v>
      </c>
      <c r="C33" s="14" t="str">
        <f>VLOOKUP(A33,'гири  база  команд '!$A$4:$F116,6,FALSE)</f>
        <v>Никольский</v>
      </c>
      <c r="D33" s="151"/>
      <c r="E33" s="14"/>
      <c r="F33" s="62"/>
      <c r="G33" s="151"/>
      <c r="H33" s="74">
        <v>2</v>
      </c>
      <c r="I33" s="62">
        <f t="shared" si="0"/>
        <v>108</v>
      </c>
      <c r="J33" s="63">
        <f t="shared" si="1"/>
        <v>0</v>
      </c>
      <c r="K33" s="74">
        <v>3</v>
      </c>
      <c r="L33" s="57">
        <f t="shared" si="2"/>
        <v>98</v>
      </c>
      <c r="M33" s="130">
        <f t="shared" si="3"/>
        <v>206</v>
      </c>
      <c r="N33" s="81"/>
      <c r="O33" s="81"/>
      <c r="Q33" s="84"/>
      <c r="R33" s="5"/>
    </row>
    <row r="34" spans="1:18" ht="15.75">
      <c r="A34" s="76" t="str">
        <f>'гири  база  команд '!A16</f>
        <v>св95м3</v>
      </c>
      <c r="B34" s="14" t="str">
        <f>VLOOKUP(A34,'гири  база  команд '!$A$4:$F120,5,FALSE)</f>
        <v>Надькин Николай</v>
      </c>
      <c r="C34" s="14" t="str">
        <f>VLOOKUP(A34,'гири  база  команд '!$A$4:$F120,6,FALSE)</f>
        <v>Шемышейский</v>
      </c>
      <c r="D34" s="151"/>
      <c r="E34" s="14"/>
      <c r="F34" s="62"/>
      <c r="G34" s="151"/>
      <c r="H34" s="74">
        <v>5</v>
      </c>
      <c r="I34" s="62">
        <f t="shared" si="0"/>
        <v>85</v>
      </c>
      <c r="J34" s="63">
        <f t="shared" si="1"/>
        <v>0</v>
      </c>
      <c r="K34" s="74">
        <v>2</v>
      </c>
      <c r="L34" s="57">
        <f t="shared" si="2"/>
        <v>108</v>
      </c>
      <c r="M34" s="130">
        <f t="shared" si="3"/>
        <v>193</v>
      </c>
      <c r="N34" s="81"/>
      <c r="O34" s="81"/>
      <c r="Q34" s="84"/>
      <c r="R34" s="5"/>
    </row>
    <row r="35" spans="1:18" ht="15.75">
      <c r="A35" s="76" t="str">
        <f>'гири  база  команд '!A6</f>
        <v>св95м1</v>
      </c>
      <c r="B35" s="14" t="str">
        <f>VLOOKUP(A35,'гири  база  команд '!$A$4:$F110,5,FALSE)</f>
        <v>Горельников Роман</v>
      </c>
      <c r="C35" s="14" t="str">
        <f>VLOOKUP(A35,'гири  база  команд '!$A$4:$F110,6,FALSE)</f>
        <v>Малосердобинский</v>
      </c>
      <c r="D35" s="151"/>
      <c r="E35" s="14"/>
      <c r="F35" s="62"/>
      <c r="G35" s="151"/>
      <c r="H35" s="74">
        <v>3</v>
      </c>
      <c r="I35" s="62">
        <f t="shared" si="0"/>
        <v>98</v>
      </c>
      <c r="J35" s="63">
        <f t="shared" si="1"/>
        <v>0</v>
      </c>
      <c r="K35" s="74">
        <v>4</v>
      </c>
      <c r="L35" s="57">
        <f t="shared" si="2"/>
        <v>90</v>
      </c>
      <c r="M35" s="130">
        <f t="shared" si="3"/>
        <v>188</v>
      </c>
      <c r="N35" s="81"/>
      <c r="O35" s="81"/>
      <c r="Q35" s="84"/>
      <c r="R35" s="5"/>
    </row>
    <row r="36" spans="1:18" ht="15.75">
      <c r="A36" s="76" t="str">
        <f>'гири  база  команд '!A71</f>
        <v>св95м7</v>
      </c>
      <c r="B36" s="14" t="str">
        <f>VLOOKUP(A36,'гири  база  команд '!$A$4:$F175,5,FALSE)</f>
        <v>Кондрашин Сергей</v>
      </c>
      <c r="C36" s="14" t="str">
        <f>VLOOKUP(A36,'гири  база  команд '!$A$4:$F175,6,FALSE)</f>
        <v>Каменский</v>
      </c>
      <c r="D36" s="151"/>
      <c r="E36" s="14"/>
      <c r="F36" s="62"/>
      <c r="G36" s="151"/>
      <c r="H36" s="74">
        <v>6</v>
      </c>
      <c r="I36" s="62">
        <f t="shared" si="0"/>
        <v>82</v>
      </c>
      <c r="J36" s="63">
        <f t="shared" si="1"/>
        <v>0</v>
      </c>
      <c r="K36" s="74">
        <v>5</v>
      </c>
      <c r="L36" s="57">
        <f t="shared" si="2"/>
        <v>85</v>
      </c>
      <c r="M36" s="130">
        <f t="shared" si="3"/>
        <v>167</v>
      </c>
      <c r="N36" s="81"/>
      <c r="O36" s="81"/>
      <c r="Q36" s="84"/>
      <c r="R36" s="5"/>
    </row>
    <row r="37" spans="1:18" ht="15.75">
      <c r="A37" s="76" t="str">
        <f>'гири  база  команд '!A27</f>
        <v>св95м5</v>
      </c>
      <c r="B37" s="14" t="str">
        <f>VLOOKUP(A37,'гири  база  команд '!$A$4:$F131,5,FALSE)</f>
        <v>Петряев Андрей</v>
      </c>
      <c r="C37" s="14" t="str">
        <f>VLOOKUP(A37,'гири  база  команд '!$A$4:$F131,6,FALSE)</f>
        <v>Неверкинский</v>
      </c>
      <c r="D37" s="151"/>
      <c r="E37" s="14"/>
      <c r="F37" s="62"/>
      <c r="G37" s="151"/>
      <c r="H37" s="74">
        <v>4</v>
      </c>
      <c r="I37" s="62">
        <f t="shared" si="0"/>
        <v>90</v>
      </c>
      <c r="J37" s="63">
        <f t="shared" si="1"/>
        <v>0</v>
      </c>
      <c r="K37" s="74">
        <v>8</v>
      </c>
      <c r="L37" s="57">
        <f t="shared" si="2"/>
        <v>76</v>
      </c>
      <c r="M37" s="130">
        <f t="shared" si="3"/>
        <v>166</v>
      </c>
      <c r="N37" s="81"/>
      <c r="O37" s="81"/>
      <c r="Q37" s="84"/>
      <c r="R37" s="5"/>
    </row>
    <row r="38" spans="1:18" ht="15.75">
      <c r="A38" s="76" t="s">
        <v>396</v>
      </c>
      <c r="B38" s="14" t="str">
        <f>VLOOKUP(A38,'гири  база  команд '!$A$4:$F132,5,FALSE)</f>
        <v>Якопов Дмитрий</v>
      </c>
      <c r="C38" s="14" t="str">
        <f>VLOOKUP(A38,'гири  база  команд '!$A$4:$F132,6,FALSE)</f>
        <v>Белинский</v>
      </c>
      <c r="D38" s="151"/>
      <c r="E38" s="14"/>
      <c r="F38" s="62"/>
      <c r="G38" s="151"/>
      <c r="H38" s="74">
        <v>6</v>
      </c>
      <c r="I38" s="62">
        <f t="shared" si="0"/>
        <v>82</v>
      </c>
      <c r="J38" s="63">
        <f t="shared" si="1"/>
        <v>0</v>
      </c>
      <c r="K38" s="74">
        <v>6</v>
      </c>
      <c r="L38" s="57">
        <f t="shared" si="2"/>
        <v>82</v>
      </c>
      <c r="M38" s="130">
        <f t="shared" si="3"/>
        <v>164</v>
      </c>
      <c r="N38" s="81"/>
      <c r="O38" s="81"/>
      <c r="Q38" s="84"/>
      <c r="R38" s="5"/>
    </row>
    <row r="39" spans="1:18" ht="15.75">
      <c r="A39" s="76" t="s">
        <v>374</v>
      </c>
      <c r="B39" s="14" t="str">
        <f>VLOOKUP(A39,'гири  база  команд '!$A$4:$F182,5,FALSE)</f>
        <v>Вишняков Александр</v>
      </c>
      <c r="C39" s="14" t="str">
        <f>VLOOKUP(A39,'гири  база  команд '!$A$4:$F182,6,FALSE)</f>
        <v>Шемышейский</v>
      </c>
      <c r="D39" s="151"/>
      <c r="E39" s="14"/>
      <c r="F39" s="62"/>
      <c r="G39" s="151"/>
      <c r="H39" s="74">
        <v>6</v>
      </c>
      <c r="I39" s="62">
        <f t="shared" si="0"/>
        <v>82</v>
      </c>
      <c r="J39" s="63">
        <f t="shared" si="1"/>
        <v>0</v>
      </c>
      <c r="K39" s="74">
        <v>7</v>
      </c>
      <c r="L39" s="57">
        <f t="shared" si="2"/>
        <v>79</v>
      </c>
      <c r="M39" s="130">
        <f t="shared" si="3"/>
        <v>161</v>
      </c>
      <c r="N39" s="81"/>
      <c r="O39" s="81"/>
      <c r="Q39" s="84"/>
      <c r="R39" s="5"/>
    </row>
    <row r="40" spans="1:18" ht="15.75">
      <c r="A40" s="76" t="str">
        <f>'гири  база  команд '!A72</f>
        <v>св95м8</v>
      </c>
      <c r="B40" s="14" t="str">
        <f>VLOOKUP(A40,'гири  база  команд '!$A$4:$F176,5,FALSE)</f>
        <v>Мурзаев Мурат</v>
      </c>
      <c r="C40" s="14" t="str">
        <f>VLOOKUP(A40,'гири  база  команд '!$A$4:$F176,6,FALSE)</f>
        <v>Каменский</v>
      </c>
      <c r="D40" s="151"/>
      <c r="E40" s="14"/>
      <c r="F40" s="62"/>
      <c r="G40" s="151"/>
      <c r="H40" s="74">
        <v>6</v>
      </c>
      <c r="I40" s="62">
        <f t="shared" si="0"/>
        <v>82</v>
      </c>
      <c r="J40" s="63">
        <f t="shared" si="1"/>
        <v>0</v>
      </c>
      <c r="K40" s="74">
        <v>9</v>
      </c>
      <c r="L40" s="57">
        <f t="shared" si="2"/>
        <v>74</v>
      </c>
      <c r="M40" s="130">
        <f t="shared" si="3"/>
        <v>156</v>
      </c>
      <c r="N40" s="81"/>
      <c r="O40" s="81"/>
      <c r="Q40" s="84"/>
      <c r="R40" s="5"/>
    </row>
    <row r="41" spans="1:15" ht="18">
      <c r="A41" s="76"/>
      <c r="B41" s="25" t="s">
        <v>18</v>
      </c>
      <c r="C41" s="116" t="s">
        <v>69</v>
      </c>
      <c r="D41" s="151"/>
      <c r="E41" s="14"/>
      <c r="F41" s="64"/>
      <c r="G41" s="152"/>
      <c r="H41" s="157"/>
      <c r="I41" s="66"/>
      <c r="J41" s="65"/>
      <c r="K41" s="157"/>
      <c r="L41" s="9"/>
      <c r="M41" s="131"/>
      <c r="N41" s="5"/>
      <c r="O41" s="5"/>
    </row>
    <row r="42" spans="1:15" ht="15.75">
      <c r="A42" s="179"/>
      <c r="B42" s="179"/>
      <c r="C42" s="180"/>
      <c r="D42" s="149" t="s">
        <v>47</v>
      </c>
      <c r="E42" s="179" t="s">
        <v>7</v>
      </c>
      <c r="F42" s="181" t="s">
        <v>1</v>
      </c>
      <c r="G42" s="149"/>
      <c r="H42" s="179"/>
      <c r="I42" s="181"/>
      <c r="J42" s="149"/>
      <c r="K42" s="179"/>
      <c r="L42" s="182"/>
      <c r="M42" s="183"/>
      <c r="N42" s="127"/>
      <c r="O42" s="127"/>
    </row>
    <row r="43" spans="1:15" ht="15.75">
      <c r="A43" s="179"/>
      <c r="B43" s="184"/>
      <c r="C43" s="180"/>
      <c r="D43" s="149"/>
      <c r="E43" s="179"/>
      <c r="F43" s="181"/>
      <c r="G43" s="149"/>
      <c r="H43" s="179"/>
      <c r="I43" s="181"/>
      <c r="J43" s="149"/>
      <c r="K43" s="179"/>
      <c r="L43" s="182"/>
      <c r="M43" s="183"/>
      <c r="N43" s="127"/>
      <c r="O43" s="127"/>
    </row>
    <row r="44" spans="1:15" ht="15.75">
      <c r="A44" s="179"/>
      <c r="B44" s="184" t="s">
        <v>369</v>
      </c>
      <c r="C44" s="180"/>
      <c r="D44" s="149"/>
      <c r="E44" s="179"/>
      <c r="F44" s="181"/>
      <c r="G44" s="149"/>
      <c r="H44" s="179"/>
      <c r="I44" s="181"/>
      <c r="J44" s="149"/>
      <c r="K44" s="179"/>
      <c r="L44" s="182"/>
      <c r="M44" s="183"/>
      <c r="N44" s="127"/>
      <c r="O44" s="127"/>
    </row>
    <row r="45" spans="1:15" ht="15.75">
      <c r="A45" s="76" t="str">
        <f>'гири  база  команд '!C9</f>
        <v>58ж2</v>
      </c>
      <c r="B45" s="14" t="str">
        <f>VLOOKUP(A45,'гири  база  команд '!$C$4:$F113,3,FALSE)</f>
        <v>Романова Юлия</v>
      </c>
      <c r="C45" s="14" t="str">
        <f>VLOOKUP(A45,'гири  база  команд '!$C$4:$F113,4,FALSE)</f>
        <v>Никольский</v>
      </c>
      <c r="D45" s="151"/>
      <c r="E45" s="14">
        <v>1</v>
      </c>
      <c r="F45" s="62">
        <f aca="true" t="shared" si="4" ref="F45:F63">LOOKUP(E45,$Q$2:$CR$2,$Q$3:$CR$3)</f>
        <v>120</v>
      </c>
      <c r="G45" s="151"/>
      <c r="H45" s="74"/>
      <c r="I45" s="62"/>
      <c r="J45" s="63"/>
      <c r="K45" s="74"/>
      <c r="L45" s="57"/>
      <c r="M45" s="130"/>
      <c r="N45" s="81"/>
      <c r="O45" s="81"/>
    </row>
    <row r="46" spans="1:15" ht="15.75">
      <c r="A46" s="76" t="str">
        <f>'гири  база  команд '!C4</f>
        <v>58ж1</v>
      </c>
      <c r="B46" s="14" t="str">
        <f>VLOOKUP(A46,'гири  база  команд '!$C$4:$F108,3,FALSE)</f>
        <v>Аброськина Кристина</v>
      </c>
      <c r="C46" s="14" t="str">
        <f>VLOOKUP(A46,'гири  база  команд '!$C$4:$F108,4,FALSE)</f>
        <v>Малосердобинский</v>
      </c>
      <c r="D46" s="75"/>
      <c r="E46" s="14">
        <v>2</v>
      </c>
      <c r="F46" s="62">
        <f t="shared" si="4"/>
        <v>108</v>
      </c>
      <c r="G46" s="75"/>
      <c r="H46" s="74"/>
      <c r="I46" s="15"/>
      <c r="J46" s="15"/>
      <c r="K46" s="74"/>
      <c r="L46" s="57"/>
      <c r="M46" s="130"/>
      <c r="N46" s="81"/>
      <c r="O46" s="81"/>
    </row>
    <row r="47" spans="1:15" ht="15.75">
      <c r="A47" s="76" t="str">
        <f>'гири  база  команд '!C19</f>
        <v>58ж4</v>
      </c>
      <c r="B47" s="14" t="str">
        <f>VLOOKUP(A47,'гири  база  команд '!$C$4:$F123,3,FALSE)</f>
        <v>Крылова Татьяна</v>
      </c>
      <c r="C47" s="14" t="str">
        <f>VLOOKUP(A47,'гири  база  команд '!$C$4:$F123,4,FALSE)</f>
        <v>Спасский</v>
      </c>
      <c r="D47" s="75"/>
      <c r="E47" s="14">
        <v>3</v>
      </c>
      <c r="F47" s="62">
        <f t="shared" si="4"/>
        <v>98</v>
      </c>
      <c r="G47" s="75"/>
      <c r="H47" s="74"/>
      <c r="I47" s="15"/>
      <c r="J47" s="15"/>
      <c r="K47" s="74"/>
      <c r="L47" s="57"/>
      <c r="M47" s="130"/>
      <c r="N47" s="81"/>
      <c r="O47" s="81"/>
    </row>
    <row r="48" spans="1:15" ht="15.75">
      <c r="A48" s="76" t="str">
        <f>'гири  база  команд '!C24</f>
        <v>58ж5</v>
      </c>
      <c r="B48" s="14" t="str">
        <f>VLOOKUP(A48,'гири  база  команд '!$C$4:$F128,3,FALSE)</f>
        <v>Чиркова Лиза</v>
      </c>
      <c r="C48" s="14" t="str">
        <f>VLOOKUP(A48,'гири  база  команд '!$C$4:$F128,4,FALSE)</f>
        <v>Неверкинский</v>
      </c>
      <c r="D48" s="75"/>
      <c r="E48" s="14">
        <v>4</v>
      </c>
      <c r="F48" s="62">
        <f t="shared" si="4"/>
        <v>90</v>
      </c>
      <c r="G48" s="75"/>
      <c r="H48" s="74"/>
      <c r="I48" s="15"/>
      <c r="J48" s="15"/>
      <c r="K48" s="74"/>
      <c r="L48" s="57"/>
      <c r="M48" s="130"/>
      <c r="N48" s="81"/>
      <c r="O48" s="81"/>
    </row>
    <row r="49" spans="1:15" ht="15.75">
      <c r="A49" s="76" t="str">
        <f>'гири  база  команд '!C14</f>
        <v>58ж3</v>
      </c>
      <c r="B49" s="14" t="str">
        <f>VLOOKUP(A49,'гири  база  команд '!$C$4:$F118,3,FALSE)</f>
        <v>Семашкина Татьяна</v>
      </c>
      <c r="C49" s="14" t="str">
        <f>VLOOKUP(A49,'гири  база  команд '!$C$4:$F118,4,FALSE)</f>
        <v>Шемышейский</v>
      </c>
      <c r="D49" s="75"/>
      <c r="E49" s="14">
        <v>5</v>
      </c>
      <c r="F49" s="62">
        <f t="shared" si="4"/>
        <v>85</v>
      </c>
      <c r="G49" s="75"/>
      <c r="H49" s="74"/>
      <c r="I49" s="15"/>
      <c r="J49" s="15"/>
      <c r="K49" s="74"/>
      <c r="L49" s="57"/>
      <c r="M49" s="130"/>
      <c r="N49" s="81"/>
      <c r="O49" s="81"/>
    </row>
    <row r="50" spans="1:15" ht="15.75">
      <c r="A50" s="76"/>
      <c r="B50" s="7" t="s">
        <v>370</v>
      </c>
      <c r="C50" s="14"/>
      <c r="D50" s="75"/>
      <c r="E50" s="14"/>
      <c r="F50" s="62"/>
      <c r="G50" s="75"/>
      <c r="H50" s="74"/>
      <c r="I50" s="15"/>
      <c r="J50" s="15"/>
      <c r="K50" s="74"/>
      <c r="L50" s="57"/>
      <c r="M50" s="130"/>
      <c r="N50" s="81"/>
      <c r="O50" s="81"/>
    </row>
    <row r="51" spans="1:15" ht="15.75">
      <c r="A51" s="76" t="str">
        <f>'гири  база  команд '!C80</f>
        <v>63ж5</v>
      </c>
      <c r="B51" s="14" t="str">
        <f>VLOOKUP(A51,'гири  база  команд '!$C$4:$F184,3,FALSE)</f>
        <v>Великородкова Наталья</v>
      </c>
      <c r="C51" s="14" t="str">
        <f>VLOOKUP(A51,'гири  база  команд '!$C$4:$F184,4,FALSE)</f>
        <v>Мокшанский</v>
      </c>
      <c r="D51" s="75"/>
      <c r="E51" s="14">
        <v>1</v>
      </c>
      <c r="F51" s="62">
        <f t="shared" si="4"/>
        <v>120</v>
      </c>
      <c r="G51" s="75"/>
      <c r="H51" s="74"/>
      <c r="I51" s="15"/>
      <c r="J51" s="15"/>
      <c r="K51" s="74"/>
      <c r="L51" s="57"/>
      <c r="M51" s="130"/>
      <c r="N51" s="81"/>
      <c r="O51" s="81"/>
    </row>
    <row r="52" spans="1:15" ht="15.75">
      <c r="A52" s="76" t="str">
        <f>'гири  база  команд '!C45</f>
        <v>63ж3</v>
      </c>
      <c r="B52" s="14" t="str">
        <f>VLOOKUP(A52,'гири  база  команд '!$C$4:$F149,3,FALSE)</f>
        <v>Талабаева Таисия</v>
      </c>
      <c r="C52" s="14" t="str">
        <f>VLOOKUP(A52,'гири  база  команд '!$C$4:$F149,4,FALSE)</f>
        <v>Лопатинский</v>
      </c>
      <c r="D52" s="75"/>
      <c r="E52" s="14">
        <v>2</v>
      </c>
      <c r="F52" s="62">
        <f t="shared" si="4"/>
        <v>108</v>
      </c>
      <c r="G52" s="75"/>
      <c r="H52" s="74"/>
      <c r="I52" s="15"/>
      <c r="J52" s="15"/>
      <c r="K52" s="74"/>
      <c r="L52" s="57"/>
      <c r="M52" s="130"/>
      <c r="N52" s="81"/>
      <c r="O52" s="81"/>
    </row>
    <row r="53" spans="1:15" ht="15.75">
      <c r="A53" s="76" t="str">
        <f>'гири  база  команд '!C10</f>
        <v>63ж1</v>
      </c>
      <c r="B53" s="14" t="str">
        <f>VLOOKUP(A53,'гири  база  команд '!$C$4:$F114,3,FALSE)</f>
        <v>Белякова Анастасия</v>
      </c>
      <c r="C53" s="14" t="str">
        <f>VLOOKUP(A53,'гири  база  команд '!$C$4:$F114,4,FALSE)</f>
        <v>Никольский</v>
      </c>
      <c r="D53" s="75"/>
      <c r="E53" s="14">
        <v>3</v>
      </c>
      <c r="F53" s="62">
        <f t="shared" si="4"/>
        <v>98</v>
      </c>
      <c r="G53" s="75"/>
      <c r="H53" s="74"/>
      <c r="I53" s="15"/>
      <c r="J53" s="15"/>
      <c r="K53" s="74"/>
      <c r="L53" s="57"/>
      <c r="M53" s="130"/>
      <c r="N53" s="81"/>
      <c r="O53" s="81"/>
    </row>
    <row r="54" spans="1:15" ht="15.75">
      <c r="A54" s="76" t="str">
        <f>'гири  база  команд '!C30</f>
        <v>63ж2</v>
      </c>
      <c r="B54" s="14" t="str">
        <f>VLOOKUP(A54,'гири  база  команд '!$C$4:$F134,3,FALSE)</f>
        <v>Мащенко Дарья</v>
      </c>
      <c r="C54" s="14" t="str">
        <f>VLOOKUP(A54,'гири  база  команд '!$C$4:$F134,4,FALSE)</f>
        <v>Сердобский</v>
      </c>
      <c r="D54" s="75"/>
      <c r="E54" s="14">
        <v>4</v>
      </c>
      <c r="F54" s="62">
        <f t="shared" si="4"/>
        <v>90</v>
      </c>
      <c r="G54" s="47"/>
      <c r="H54" s="76"/>
      <c r="I54" s="14"/>
      <c r="J54" s="14"/>
      <c r="K54" s="76"/>
      <c r="L54" s="71"/>
      <c r="M54" s="132"/>
      <c r="N54" s="56"/>
      <c r="O54" s="56"/>
    </row>
    <row r="55" spans="1:15" ht="15.75">
      <c r="A55" s="76"/>
      <c r="B55" s="7" t="s">
        <v>371</v>
      </c>
      <c r="C55" s="14"/>
      <c r="D55" s="75"/>
      <c r="E55" s="14"/>
      <c r="F55" s="62"/>
      <c r="G55" s="228"/>
      <c r="H55" s="227"/>
      <c r="I55" s="56"/>
      <c r="J55" s="56"/>
      <c r="K55" s="227"/>
      <c r="L55" s="56"/>
      <c r="M55" s="56"/>
      <c r="N55" s="56"/>
      <c r="O55" s="56"/>
    </row>
    <row r="56" spans="1:6" ht="15.75">
      <c r="A56" s="76" t="str">
        <f>'гири  база  команд '!C44</f>
        <v>68ж6</v>
      </c>
      <c r="B56" s="14" t="str">
        <f>VLOOKUP(A56,'гири  база  команд '!$C$4:$F148,3,FALSE)</f>
        <v>Фадина Татьяна </v>
      </c>
      <c r="C56" s="14" t="str">
        <f>VLOOKUP(A56,'гири  база  команд '!$C$4:$F148,4,FALSE)</f>
        <v>Лопатинский</v>
      </c>
      <c r="D56" s="75"/>
      <c r="E56" s="14">
        <v>1</v>
      </c>
      <c r="F56" s="62">
        <f t="shared" si="4"/>
        <v>120</v>
      </c>
    </row>
    <row r="57" spans="1:6" ht="15.75">
      <c r="A57" s="76" t="str">
        <f>'гири  база  команд '!C39</f>
        <v>68ж5</v>
      </c>
      <c r="B57" s="14" t="str">
        <f>VLOOKUP(A57,'гири  база  команд '!$C$4:$F143,3,FALSE)</f>
        <v>Чалышева Екатерина</v>
      </c>
      <c r="C57" s="14" t="str">
        <f>VLOOKUP(A57,'гири  база  команд '!$C$4:$F143,4,FALSE)</f>
        <v>Кузнецкий</v>
      </c>
      <c r="D57" s="75"/>
      <c r="E57" s="14">
        <v>2</v>
      </c>
      <c r="F57" s="62">
        <f t="shared" si="4"/>
        <v>108</v>
      </c>
    </row>
    <row r="58" spans="1:6" ht="15.75">
      <c r="A58" s="76" t="s">
        <v>381</v>
      </c>
      <c r="B58" s="14" t="str">
        <f>VLOOKUP(A58,'гири  база  команд '!$C$4:$F159,3,FALSE)</f>
        <v>Абрамова Оксана</v>
      </c>
      <c r="C58" s="14" t="str">
        <f>VLOOKUP(A58,'гири  база  команд '!$C$4:$F159,4,FALSE)</f>
        <v>Колышлейский</v>
      </c>
      <c r="D58" s="75"/>
      <c r="E58" s="14">
        <v>3</v>
      </c>
      <c r="F58" s="62">
        <f t="shared" si="4"/>
        <v>98</v>
      </c>
    </row>
    <row r="59" spans="1:6" ht="15.75">
      <c r="A59" s="76" t="str">
        <f>'гири  база  команд '!C49</f>
        <v>68ж7</v>
      </c>
      <c r="B59" s="14" t="str">
        <f>VLOOKUP(A59,'гири  база  команд '!$C$4:$F153,3,FALSE)</f>
        <v>Бевз Виктория</v>
      </c>
      <c r="C59" s="14" t="str">
        <f>VLOOKUP(A59,'гири  база  команд '!$C$4:$F153,4,FALSE)</f>
        <v>Белинский</v>
      </c>
      <c r="D59" s="75"/>
      <c r="E59" s="14">
        <v>4</v>
      </c>
      <c r="F59" s="62">
        <f t="shared" si="4"/>
        <v>90</v>
      </c>
    </row>
    <row r="60" spans="1:6" ht="15.75">
      <c r="A60" s="76" t="str">
        <f>'гири  база  команд '!C20</f>
        <v>68ж1</v>
      </c>
      <c r="B60" s="14" t="str">
        <f>VLOOKUP(A60,'гири  база  команд '!$C$4:$F124,3,FALSE)</f>
        <v>Горшкова Елена</v>
      </c>
      <c r="C60" s="14" t="str">
        <f>VLOOKUP(A60,'гири  база  команд '!$C$4:$F124,4,FALSE)</f>
        <v>Спасский</v>
      </c>
      <c r="D60" s="75"/>
      <c r="E60" s="14">
        <v>5</v>
      </c>
      <c r="F60" s="62">
        <f t="shared" si="4"/>
        <v>85</v>
      </c>
    </row>
    <row r="61" spans="1:6" ht="15.75">
      <c r="A61" s="76" t="str">
        <f>'гири  база  команд '!C29</f>
        <v>68ж2</v>
      </c>
      <c r="B61" s="14" t="str">
        <f>VLOOKUP(A61,'гири  база  команд '!$C$4:$F133,3,FALSE)</f>
        <v>Гетманская Светлана</v>
      </c>
      <c r="C61" s="14" t="str">
        <f>VLOOKUP(A61,'гири  база  команд '!$C$4:$F133,4,FALSE)</f>
        <v>Сердобский</v>
      </c>
      <c r="D61" s="75"/>
      <c r="E61" s="14">
        <v>6</v>
      </c>
      <c r="F61" s="62">
        <f t="shared" si="4"/>
        <v>82</v>
      </c>
    </row>
    <row r="62" spans="1:6" ht="15.75">
      <c r="A62" s="76" t="str">
        <f>'гири  база  команд '!C54</f>
        <v>68ж8</v>
      </c>
      <c r="B62" s="14" t="str">
        <f>VLOOKUP(A62,'гири  база  команд '!$C$4:$F158,3,FALSE)</f>
        <v>Кирюшина Наталья</v>
      </c>
      <c r="C62" s="14" t="str">
        <f>VLOOKUP(A62,'гири  база  команд '!$C$4:$F158,4,FALSE)</f>
        <v>Бековский</v>
      </c>
      <c r="D62" s="75"/>
      <c r="E62" s="14">
        <v>7</v>
      </c>
      <c r="F62" s="62">
        <f t="shared" si="4"/>
        <v>79</v>
      </c>
    </row>
    <row r="63" spans="1:6" ht="15.75">
      <c r="A63" s="76" t="str">
        <f>'гири  база  команд '!C34</f>
        <v>68ж3</v>
      </c>
      <c r="B63" s="14" t="str">
        <f>VLOOKUP(A63,'гири  база  команд '!$C$4:$F138,3,FALSE)</f>
        <v>Ванюшкина Наталья</v>
      </c>
      <c r="C63" s="14" t="str">
        <f>VLOOKUP(A63,'гири  база  команд '!$C$4:$F138,4,FALSE)</f>
        <v>Колышлейский</v>
      </c>
      <c r="D63" s="75"/>
      <c r="E63" s="14">
        <v>8</v>
      </c>
      <c r="F63" s="62">
        <f t="shared" si="4"/>
        <v>76</v>
      </c>
    </row>
    <row r="64" spans="1:6" ht="15.75">
      <c r="A64" s="76"/>
      <c r="B64" s="7" t="s">
        <v>372</v>
      </c>
      <c r="C64" s="14"/>
      <c r="D64" s="75"/>
      <c r="E64" s="14"/>
      <c r="F64" s="62"/>
    </row>
    <row r="65" spans="1:6" ht="15.75">
      <c r="A65" s="76" t="str">
        <f>'гири  база  команд '!C89</f>
        <v>св68ж14</v>
      </c>
      <c r="B65" s="14" t="str">
        <f>VLOOKUP(A65,'гири  база  команд '!$C$4:$F193,3,FALSE)</f>
        <v>Павлова Наталья</v>
      </c>
      <c r="C65" s="14" t="str">
        <f>VLOOKUP(A65,'гири  база  команд '!$C$4:$F193,4,FALSE)</f>
        <v>Иссинский</v>
      </c>
      <c r="D65" s="75"/>
      <c r="E65" s="14">
        <v>1</v>
      </c>
      <c r="F65" s="62">
        <f aca="true" t="shared" si="5" ref="F65:F77">LOOKUP(E65,$Q$2:$CR$2,$Q$3:$CR$3)</f>
        <v>120</v>
      </c>
    </row>
    <row r="66" spans="1:6" ht="15.75">
      <c r="A66" s="76" t="str">
        <f>'гири  база  команд '!C79</f>
        <v>св68ж12</v>
      </c>
      <c r="B66" s="14" t="str">
        <f>VLOOKUP(A66,'гири  база  команд '!$C$4:$F183,3,FALSE)</f>
        <v>Маношина Татьяна</v>
      </c>
      <c r="C66" s="14" t="str">
        <f>VLOOKUP(A66,'гири  база  команд '!$C$4:$F183,4,FALSE)</f>
        <v>Мокшанский</v>
      </c>
      <c r="D66" s="75"/>
      <c r="E66" s="14">
        <v>2</v>
      </c>
      <c r="F66" s="62">
        <f t="shared" si="5"/>
        <v>108</v>
      </c>
    </row>
    <row r="67" spans="1:6" ht="15.75">
      <c r="A67" s="76" t="str">
        <f>'гири  база  команд '!C69</f>
        <v>св68ж9</v>
      </c>
      <c r="B67" s="14" t="str">
        <f>VLOOKUP(A67,'гири  база  команд '!$C$4:$F173,3,FALSE)</f>
        <v>Ерганова Валентина</v>
      </c>
      <c r="C67" s="14" t="str">
        <f>VLOOKUP(A67,'гири  база  команд '!$C$4:$F173,4,FALSE)</f>
        <v>Каменский</v>
      </c>
      <c r="D67" s="75"/>
      <c r="E67" s="14">
        <v>3</v>
      </c>
      <c r="F67" s="62">
        <f t="shared" si="5"/>
        <v>98</v>
      </c>
    </row>
    <row r="68" spans="1:6" ht="15.75">
      <c r="A68" s="76" t="str">
        <f>'гири  база  команд '!C65</f>
        <v>св68ж8</v>
      </c>
      <c r="B68" s="14" t="str">
        <f>VLOOKUP(A68,'гири  база  команд '!$C$4:$F169,3,FALSE)</f>
        <v>Бураева Галина</v>
      </c>
      <c r="C68" s="14" t="str">
        <f>VLOOKUP(A68,'гири  база  команд '!$C$4:$F169,4,FALSE)</f>
        <v>Вадинский</v>
      </c>
      <c r="D68" s="75"/>
      <c r="E68" s="14">
        <v>4</v>
      </c>
      <c r="F68" s="62">
        <f t="shared" si="5"/>
        <v>90</v>
      </c>
    </row>
    <row r="69" spans="1:6" ht="15.75">
      <c r="A69" s="76" t="str">
        <f>'гири  база  команд '!C5</f>
        <v>св68ж1</v>
      </c>
      <c r="B69" s="14" t="str">
        <f>VLOOKUP(A69,'гири  база  команд '!$C$4:$F109,3,FALSE)</f>
        <v>Заварзина Татьяна</v>
      </c>
      <c r="C69" s="14" t="str">
        <f>VLOOKUP(A69,'гири  база  команд '!$C$4:$F109,4,FALSE)</f>
        <v>Малосердобинский</v>
      </c>
      <c r="D69" s="75"/>
      <c r="E69" s="14">
        <v>5</v>
      </c>
      <c r="F69" s="62">
        <f t="shared" si="5"/>
        <v>85</v>
      </c>
    </row>
    <row r="70" spans="1:6" ht="15.75">
      <c r="A70" s="76" t="str">
        <f>'гири  база  команд '!C60</f>
        <v>св68ж6</v>
      </c>
      <c r="B70" s="14" t="str">
        <f>VLOOKUP(A70,'гири  база  команд '!$C$4:$F164,3,FALSE)</f>
        <v>Абазина Елена</v>
      </c>
      <c r="C70" s="14" t="str">
        <f>VLOOKUP(A70,'гири  база  команд '!$C$4:$F164,4,FALSE)</f>
        <v>Камешкирский</v>
      </c>
      <c r="D70" s="75"/>
      <c r="E70" s="14">
        <v>6</v>
      </c>
      <c r="F70" s="62">
        <f t="shared" si="5"/>
        <v>82</v>
      </c>
    </row>
    <row r="71" spans="1:6" ht="15.75">
      <c r="A71" s="76" t="str">
        <f>'гири  база  команд '!C15</f>
        <v>св68ж2</v>
      </c>
      <c r="B71" s="14" t="str">
        <f>VLOOKUP(A71,'гири  база  команд '!$C$4:$F119,3,FALSE)</f>
        <v>Антошкина Татьяна</v>
      </c>
      <c r="C71" s="14" t="str">
        <f>VLOOKUP(A71,'гири  база  команд '!$C$4:$F119,4,FALSE)</f>
        <v>Шемышейский</v>
      </c>
      <c r="D71" s="75"/>
      <c r="E71" s="14">
        <v>7</v>
      </c>
      <c r="F71" s="62">
        <f t="shared" si="5"/>
        <v>79</v>
      </c>
    </row>
    <row r="72" spans="1:6" ht="15.75">
      <c r="A72" s="76" t="str">
        <f>'гири  база  команд '!C75</f>
        <v>св68ж11</v>
      </c>
      <c r="B72" s="14" t="str">
        <f>VLOOKUP(A72,'гири  база  команд '!$C$4:$F179,3,FALSE)</f>
        <v>Загребина Наталья</v>
      </c>
      <c r="C72" s="14" t="str">
        <f>VLOOKUP(A72,'гири  база  команд '!$C$4:$F179,4,FALSE)</f>
        <v>Нижнеломовский</v>
      </c>
      <c r="D72" s="75"/>
      <c r="E72" s="14">
        <v>8</v>
      </c>
      <c r="F72" s="62">
        <f t="shared" si="5"/>
        <v>76</v>
      </c>
    </row>
    <row r="73" spans="1:6" ht="15.75">
      <c r="A73" s="76" t="str">
        <f>'гири  база  команд '!C50</f>
        <v>св68ж4</v>
      </c>
      <c r="B73" s="14" t="str">
        <f>VLOOKUP(A73,'гири  база  команд '!$C$4:$F154,3,FALSE)</f>
        <v>Бажанова Елена</v>
      </c>
      <c r="C73" s="14" t="str">
        <f>VLOOKUP(A73,'гири  база  команд '!$C$4:$F154,4,FALSE)</f>
        <v>Белинский</v>
      </c>
      <c r="D73" s="75"/>
      <c r="E73" s="14">
        <v>9</v>
      </c>
      <c r="F73" s="62">
        <f t="shared" si="5"/>
        <v>74</v>
      </c>
    </row>
    <row r="74" spans="1:6" ht="15.75">
      <c r="A74" s="76" t="str">
        <f>'гири  база  команд '!C84</f>
        <v>св68ж13</v>
      </c>
      <c r="B74" s="14" t="str">
        <f>VLOOKUP(A74,'гири  база  команд '!$C$4:$F188,3,FALSE)</f>
        <v>Рыжова Елена </v>
      </c>
      <c r="C74" s="14" t="str">
        <f>VLOOKUP(A74,'гири  база  команд '!$C$4:$F188,4,FALSE)</f>
        <v>Тамалинский</v>
      </c>
      <c r="D74" s="75"/>
      <c r="E74" s="14">
        <v>10</v>
      </c>
      <c r="F74" s="62">
        <f t="shared" si="5"/>
        <v>72</v>
      </c>
    </row>
    <row r="75" spans="1:6" ht="15.75">
      <c r="A75" s="76" t="str">
        <f>'гири  база  команд '!C55</f>
        <v>св68ж5</v>
      </c>
      <c r="B75" s="14" t="str">
        <f>VLOOKUP(A75,'гири  база  команд '!$C$4:$F159,3,FALSE)</f>
        <v>Рыжова Людмила</v>
      </c>
      <c r="C75" s="14" t="str">
        <f>VLOOKUP(A75,'гири  база  команд '!$C$4:$F159,4,FALSE)</f>
        <v>Бековский</v>
      </c>
      <c r="D75" s="75"/>
      <c r="E75" s="14">
        <v>10</v>
      </c>
      <c r="F75" s="62">
        <f t="shared" si="5"/>
        <v>72</v>
      </c>
    </row>
    <row r="76" spans="1:6" ht="15.75">
      <c r="A76" s="76" t="str">
        <f>'гири  база  команд '!C25</f>
        <v>св68ж3</v>
      </c>
      <c r="B76" s="14" t="str">
        <f>VLOOKUP(A76,'гири  база  команд '!$C$4:$F129,3,FALSE)</f>
        <v>Баюкова Инна</v>
      </c>
      <c r="C76" s="14" t="str">
        <f>VLOOKUP(A76,'гири  база  команд '!$C$4:$F129,4,FALSE)</f>
        <v>Неверкинский</v>
      </c>
      <c r="D76" s="75"/>
      <c r="E76" s="14">
        <v>11</v>
      </c>
      <c r="F76" s="62">
        <f t="shared" si="5"/>
        <v>70</v>
      </c>
    </row>
    <row r="77" spans="1:6" ht="15.75">
      <c r="A77" s="76" t="str">
        <f>'гири  база  команд '!C74</f>
        <v>св68ж10</v>
      </c>
      <c r="B77" s="14" t="str">
        <f>VLOOKUP(A77,'гири  база  команд '!$C$4:$F178,3,FALSE)</f>
        <v>Гольтяпина Юлия</v>
      </c>
      <c r="C77" s="14" t="str">
        <f>VLOOKUP(A77,'гири  база  команд '!$C$4:$F178,4,FALSE)</f>
        <v>Нижнеломовский</v>
      </c>
      <c r="D77" s="75"/>
      <c r="E77" s="14">
        <v>12</v>
      </c>
      <c r="F77" s="62">
        <f t="shared" si="5"/>
        <v>69</v>
      </c>
    </row>
  </sheetData>
  <sheetProtection/>
  <printOptions/>
  <pageMargins left="0.7" right="0.7" top="0.75" bottom="0.75" header="0.3" footer="0.3"/>
  <pageSetup horizontalDpi="600" verticalDpi="600" orientation="portrait" paperSize="9" scale="53" r:id="rId1"/>
  <colBreaks count="5" manualBreakCount="5">
    <brk id="12" max="65535" man="1"/>
    <brk id="30" max="197" man="1"/>
    <brk id="48" max="197" man="1"/>
    <brk id="66" max="197" man="1"/>
    <brk id="84" max="1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3"/>
  <sheetViews>
    <sheetView view="pageBreakPreview" zoomScaleSheetLayoutView="100" workbookViewId="0" topLeftCell="A1">
      <selection activeCell="B33" sqref="B33"/>
    </sheetView>
  </sheetViews>
  <sheetFormatPr defaultColWidth="9.140625" defaultRowHeight="12.75"/>
  <cols>
    <col min="2" max="2" width="31.57421875" style="0" customWidth="1"/>
    <col min="3" max="3" width="11.140625" style="8" customWidth="1"/>
    <col min="4" max="4" width="18.140625" style="0" customWidth="1"/>
  </cols>
  <sheetData>
    <row r="1" spans="2:46" ht="47.25" customHeight="1" thickBot="1">
      <c r="B1" s="328" t="s">
        <v>56</v>
      </c>
      <c r="C1" s="328"/>
      <c r="D1" s="328"/>
      <c r="E1" s="328"/>
      <c r="F1" s="31"/>
      <c r="G1" s="147">
        <v>1</v>
      </c>
      <c r="H1" s="147">
        <v>2</v>
      </c>
      <c r="I1" s="147">
        <v>3</v>
      </c>
      <c r="J1" s="28">
        <v>4</v>
      </c>
      <c r="K1" s="28">
        <v>5</v>
      </c>
      <c r="L1" s="28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</row>
    <row r="2" spans="2:46" ht="47.25" customHeight="1" thickBot="1">
      <c r="B2" s="123"/>
      <c r="C2" s="158"/>
      <c r="D2" s="123"/>
      <c r="E2" s="123"/>
      <c r="F2" s="31"/>
      <c r="G2" s="148">
        <v>360</v>
      </c>
      <c r="H2" s="194">
        <v>330</v>
      </c>
      <c r="I2" s="194">
        <v>305</v>
      </c>
      <c r="J2" s="39">
        <v>285</v>
      </c>
      <c r="K2" s="39">
        <v>270</v>
      </c>
      <c r="L2" s="39">
        <v>260</v>
      </c>
      <c r="M2" s="39">
        <v>250</v>
      </c>
      <c r="N2" s="39">
        <v>240</v>
      </c>
      <c r="O2" s="39">
        <v>230</v>
      </c>
      <c r="P2" s="39">
        <v>220</v>
      </c>
      <c r="Q2" s="39">
        <v>210</v>
      </c>
      <c r="R2" s="39">
        <v>200</v>
      </c>
      <c r="S2" s="39">
        <v>195</v>
      </c>
      <c r="T2" s="39">
        <v>190</v>
      </c>
      <c r="U2" s="39">
        <v>185</v>
      </c>
      <c r="V2" s="39">
        <v>180</v>
      </c>
      <c r="W2" s="39">
        <v>175</v>
      </c>
      <c r="X2" s="39">
        <v>170</v>
      </c>
      <c r="Y2" s="39">
        <v>165</v>
      </c>
      <c r="Z2" s="40">
        <v>160</v>
      </c>
      <c r="AA2" s="41">
        <v>155</v>
      </c>
      <c r="AB2" s="39">
        <v>150</v>
      </c>
      <c r="AC2" s="39">
        <v>145</v>
      </c>
      <c r="AD2" s="39">
        <v>141</v>
      </c>
      <c r="AE2" s="39">
        <v>137</v>
      </c>
      <c r="AF2" s="39">
        <v>133</v>
      </c>
      <c r="AG2" s="39">
        <v>129</v>
      </c>
      <c r="AH2" s="39">
        <v>125</v>
      </c>
      <c r="AI2" s="39">
        <v>121</v>
      </c>
      <c r="AJ2" s="39">
        <v>117</v>
      </c>
      <c r="AK2" s="39">
        <v>113</v>
      </c>
      <c r="AL2" s="39">
        <v>109</v>
      </c>
      <c r="AM2" s="39">
        <v>105</v>
      </c>
      <c r="AN2" s="39">
        <v>102</v>
      </c>
      <c r="AO2" s="39">
        <v>99</v>
      </c>
      <c r="AP2" s="39">
        <v>96</v>
      </c>
      <c r="AQ2" s="39">
        <v>93</v>
      </c>
      <c r="AR2" s="39">
        <v>90</v>
      </c>
      <c r="AS2" s="39">
        <v>87</v>
      </c>
      <c r="AT2" s="40">
        <v>84</v>
      </c>
    </row>
    <row r="3" spans="2:9" ht="37.5" customHeight="1">
      <c r="B3" s="305" t="s">
        <v>85</v>
      </c>
      <c r="C3" s="305"/>
      <c r="D3" s="305"/>
      <c r="E3" s="305"/>
      <c r="F3" s="45"/>
      <c r="G3" s="24"/>
      <c r="H3" s="5"/>
      <c r="I3" s="5"/>
    </row>
    <row r="4" spans="2:9" ht="15.75">
      <c r="B4" s="31"/>
      <c r="C4" s="159"/>
      <c r="D4" s="31"/>
      <c r="E4" s="31"/>
      <c r="F4" s="31"/>
      <c r="G4" s="24"/>
      <c r="H4" s="5"/>
      <c r="I4" s="5"/>
    </row>
    <row r="5" spans="2:9" ht="39.75" customHeight="1">
      <c r="B5" s="305" t="s">
        <v>87</v>
      </c>
      <c r="C5" s="305"/>
      <c r="D5" s="305"/>
      <c r="E5" s="305"/>
      <c r="F5" s="32"/>
      <c r="G5" s="24"/>
      <c r="H5" s="5"/>
      <c r="I5" s="5"/>
    </row>
    <row r="6" spans="2:9" ht="18" customHeight="1">
      <c r="B6" s="32"/>
      <c r="C6" s="160"/>
      <c r="D6" s="32"/>
      <c r="E6" s="32"/>
      <c r="F6" s="32"/>
      <c r="G6" s="24"/>
      <c r="H6" s="5"/>
      <c r="I6" s="5"/>
    </row>
    <row r="7" spans="2:9" ht="16.5" thickBot="1">
      <c r="B7" s="33" t="s">
        <v>73</v>
      </c>
      <c r="C7" s="19"/>
      <c r="D7" s="19"/>
      <c r="E7" s="19" t="s">
        <v>71</v>
      </c>
      <c r="F7" s="19"/>
      <c r="G7" s="24"/>
      <c r="H7" s="5"/>
      <c r="I7" s="5"/>
    </row>
    <row r="8" spans="2:9" ht="65.25" customHeight="1" thickBot="1" thickTop="1">
      <c r="B8" s="34" t="s">
        <v>57</v>
      </c>
      <c r="C8" s="161" t="s">
        <v>75</v>
      </c>
      <c r="D8" s="35" t="s">
        <v>74</v>
      </c>
      <c r="E8" s="34" t="s">
        <v>7</v>
      </c>
      <c r="F8" s="19"/>
      <c r="G8" s="24"/>
      <c r="H8" s="5"/>
      <c r="I8" s="5"/>
    </row>
    <row r="9" spans="2:9" ht="16.5" thickTop="1">
      <c r="B9" s="6" t="s">
        <v>5</v>
      </c>
      <c r="D9" s="13">
        <f>LOOKUP(E9,$G$1:$AT$1,$G$2:$AT$2)</f>
        <v>360</v>
      </c>
      <c r="E9" s="13">
        <v>1</v>
      </c>
      <c r="G9" s="24"/>
      <c r="H9" s="5"/>
      <c r="I9" s="5"/>
    </row>
    <row r="10" spans="2:9" ht="15.75">
      <c r="B10" s="6" t="s">
        <v>23</v>
      </c>
      <c r="D10" s="13">
        <f aca="true" t="shared" si="0" ref="D10:D27">LOOKUP(E10,$G$1:$AT$1,$G$2:$AT$2)</f>
        <v>330</v>
      </c>
      <c r="E10" s="13">
        <v>2</v>
      </c>
      <c r="G10" s="24"/>
      <c r="H10" s="5"/>
      <c r="I10" s="5"/>
    </row>
    <row r="11" spans="2:9" ht="15.75">
      <c r="B11" s="6" t="s">
        <v>3</v>
      </c>
      <c r="D11" s="13">
        <f t="shared" si="0"/>
        <v>305</v>
      </c>
      <c r="E11" s="13">
        <v>3</v>
      </c>
      <c r="G11" s="24"/>
      <c r="H11" s="5"/>
      <c r="I11" s="5"/>
    </row>
    <row r="12" spans="2:9" ht="15.75">
      <c r="B12" s="283" t="s">
        <v>27</v>
      </c>
      <c r="D12" s="13">
        <f t="shared" si="0"/>
        <v>285</v>
      </c>
      <c r="E12" s="13">
        <v>4</v>
      </c>
      <c r="G12" s="24"/>
      <c r="H12" s="5"/>
      <c r="I12" s="5"/>
    </row>
    <row r="13" spans="2:9" ht="15.75">
      <c r="B13" s="283" t="s">
        <v>30</v>
      </c>
      <c r="D13" s="13">
        <f t="shared" si="0"/>
        <v>270</v>
      </c>
      <c r="E13" s="13">
        <v>5</v>
      </c>
      <c r="G13" s="24"/>
      <c r="H13" s="5"/>
      <c r="I13" s="5"/>
    </row>
    <row r="14" spans="2:9" ht="15.75">
      <c r="B14" s="283" t="s">
        <v>21</v>
      </c>
      <c r="D14" s="13">
        <f t="shared" si="0"/>
        <v>260</v>
      </c>
      <c r="E14" s="13">
        <v>6</v>
      </c>
      <c r="G14" s="24"/>
      <c r="H14" s="5"/>
      <c r="I14" s="5"/>
    </row>
    <row r="15" spans="2:9" ht="15.75">
      <c r="B15" s="283" t="s">
        <v>24</v>
      </c>
      <c r="D15" s="13">
        <f t="shared" si="0"/>
        <v>250</v>
      </c>
      <c r="E15" s="13">
        <v>7</v>
      </c>
      <c r="G15" s="24"/>
      <c r="H15" s="5"/>
      <c r="I15" s="5"/>
    </row>
    <row r="16" spans="2:9" ht="15.75">
      <c r="B16" s="283" t="s">
        <v>11</v>
      </c>
      <c r="D16" s="13">
        <f t="shared" si="0"/>
        <v>240</v>
      </c>
      <c r="E16" s="13">
        <v>8</v>
      </c>
      <c r="G16" s="24"/>
      <c r="H16" s="5"/>
      <c r="I16" s="5"/>
    </row>
    <row r="17" spans="2:9" ht="15.75">
      <c r="B17" s="283" t="s">
        <v>28</v>
      </c>
      <c r="D17" s="13">
        <f t="shared" si="0"/>
        <v>230</v>
      </c>
      <c r="E17" s="13">
        <v>9</v>
      </c>
      <c r="G17" s="24"/>
      <c r="H17" s="5"/>
      <c r="I17" s="5"/>
    </row>
    <row r="18" spans="2:9" ht="15.75">
      <c r="B18" s="283" t="s">
        <v>40</v>
      </c>
      <c r="D18" s="13">
        <f t="shared" si="0"/>
        <v>220</v>
      </c>
      <c r="E18" s="13">
        <v>10</v>
      </c>
      <c r="G18" s="24"/>
      <c r="H18" s="5"/>
      <c r="I18" s="5"/>
    </row>
    <row r="19" spans="2:9" ht="15.75">
      <c r="B19" s="283" t="s">
        <v>45</v>
      </c>
      <c r="D19" s="13">
        <f t="shared" si="0"/>
        <v>210</v>
      </c>
      <c r="E19" s="13">
        <v>11</v>
      </c>
      <c r="G19" s="24"/>
      <c r="H19" s="5"/>
      <c r="I19" s="5"/>
    </row>
    <row r="20" spans="2:9" ht="15.75">
      <c r="B20" s="283" t="s">
        <v>22</v>
      </c>
      <c r="D20" s="13">
        <f t="shared" si="0"/>
        <v>200</v>
      </c>
      <c r="E20" s="13">
        <v>12</v>
      </c>
      <c r="G20" s="24"/>
      <c r="H20" s="5"/>
      <c r="I20" s="5"/>
    </row>
    <row r="21" spans="2:9" ht="15.75">
      <c r="B21" s="283" t="s">
        <v>20</v>
      </c>
      <c r="D21" s="13">
        <f t="shared" si="0"/>
        <v>195</v>
      </c>
      <c r="E21" s="13">
        <v>13</v>
      </c>
      <c r="G21" s="24"/>
      <c r="H21" s="5"/>
      <c r="I21" s="5"/>
    </row>
    <row r="22" spans="2:9" ht="15.75">
      <c r="B22" s="283" t="s">
        <v>9</v>
      </c>
      <c r="D22" s="13">
        <f t="shared" si="0"/>
        <v>190</v>
      </c>
      <c r="E22" s="13">
        <v>14</v>
      </c>
      <c r="G22" s="24"/>
      <c r="H22" s="5"/>
      <c r="I22" s="5"/>
    </row>
    <row r="23" spans="2:9" ht="15.75">
      <c r="B23" s="283" t="s">
        <v>10</v>
      </c>
      <c r="D23" s="13">
        <f t="shared" si="0"/>
        <v>185</v>
      </c>
      <c r="E23" s="13">
        <v>15</v>
      </c>
      <c r="G23" s="24"/>
      <c r="H23" s="5"/>
      <c r="I23" s="5"/>
    </row>
    <row r="24" spans="2:9" ht="15.75">
      <c r="B24" s="283" t="s">
        <v>25</v>
      </c>
      <c r="D24" s="13">
        <f t="shared" si="0"/>
        <v>180</v>
      </c>
      <c r="E24" s="13">
        <v>16</v>
      </c>
      <c r="G24" s="24"/>
      <c r="H24" s="5"/>
      <c r="I24" s="5"/>
    </row>
    <row r="25" spans="2:9" ht="15.75">
      <c r="B25" s="283" t="s">
        <v>26</v>
      </c>
      <c r="D25" s="13">
        <f t="shared" si="0"/>
        <v>175</v>
      </c>
      <c r="E25" s="13">
        <v>17</v>
      </c>
      <c r="G25" s="24"/>
      <c r="H25" s="5"/>
      <c r="I25" s="5"/>
    </row>
    <row r="26" spans="2:9" ht="15.75">
      <c r="B26" s="283" t="s">
        <v>38</v>
      </c>
      <c r="D26" s="13">
        <f t="shared" si="0"/>
        <v>170</v>
      </c>
      <c r="E26" s="13">
        <v>18</v>
      </c>
      <c r="G26" s="24"/>
      <c r="H26" s="5"/>
      <c r="I26" s="5"/>
    </row>
    <row r="27" spans="2:9" ht="15.75">
      <c r="B27" s="283" t="s">
        <v>41</v>
      </c>
      <c r="D27" s="13">
        <f t="shared" si="0"/>
        <v>165</v>
      </c>
      <c r="E27" s="13">
        <v>19</v>
      </c>
      <c r="G27" s="24"/>
      <c r="H27" s="5"/>
      <c r="I27" s="5"/>
    </row>
    <row r="28" spans="5:9" ht="15.75">
      <c r="E28" s="13"/>
      <c r="G28" s="24"/>
      <c r="H28" s="5"/>
      <c r="I28" s="5"/>
    </row>
    <row r="29" spans="5:9" ht="15.75">
      <c r="E29" s="13"/>
      <c r="G29" s="24"/>
      <c r="H29" s="5"/>
      <c r="I29" s="5"/>
    </row>
    <row r="30" spans="5:9" ht="15.75">
      <c r="E30" s="13"/>
      <c r="G30" s="24"/>
      <c r="H30" s="5"/>
      <c r="I30" s="5"/>
    </row>
    <row r="31" spans="7:9" ht="15.75">
      <c r="G31" s="24"/>
      <c r="H31" s="5"/>
      <c r="I31" s="5"/>
    </row>
    <row r="32" spans="7:9" ht="15.75">
      <c r="G32" s="24"/>
      <c r="H32" s="5"/>
      <c r="I32" s="5"/>
    </row>
    <row r="33" spans="7:9" ht="15.75">
      <c r="G33" s="24"/>
      <c r="H33" s="5"/>
      <c r="I33" s="5"/>
    </row>
  </sheetData>
  <sheetProtection/>
  <mergeCells count="3">
    <mergeCell ref="B1:E1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7.8515625" style="165" customWidth="1"/>
    <col min="2" max="2" width="27.140625" style="0" customWidth="1"/>
    <col min="3" max="3" width="17.28125" style="0" customWidth="1"/>
    <col min="4" max="4" width="12.7109375" style="0" bestFit="1" customWidth="1"/>
    <col min="5" max="7" width="12.7109375" style="0" customWidth="1"/>
    <col min="8" max="8" width="20.28125" style="0" customWidth="1"/>
  </cols>
  <sheetData>
    <row r="1" spans="2:3" ht="15.75">
      <c r="B1" s="10" t="s">
        <v>88</v>
      </c>
      <c r="C1" s="10"/>
    </row>
    <row r="2" spans="1:3" ht="15.75">
      <c r="A2" s="166"/>
      <c r="B2" s="26"/>
      <c r="C2" s="26"/>
    </row>
    <row r="3" spans="1:8" ht="32.25" thickBot="1">
      <c r="A3" s="167" t="s">
        <v>66</v>
      </c>
      <c r="B3" s="136" t="s">
        <v>54</v>
      </c>
      <c r="C3" s="136" t="s">
        <v>0</v>
      </c>
      <c r="D3" s="136" t="s">
        <v>1</v>
      </c>
      <c r="E3" s="136"/>
      <c r="F3" s="136"/>
      <c r="G3" s="146" t="s">
        <v>32</v>
      </c>
      <c r="H3" s="136" t="s">
        <v>0</v>
      </c>
    </row>
    <row r="4" spans="1:8" ht="16.5" thickTop="1">
      <c r="A4" s="168">
        <v>7</v>
      </c>
      <c r="B4" s="139" t="s">
        <v>109</v>
      </c>
      <c r="C4" s="139" t="s">
        <v>44</v>
      </c>
      <c r="D4" s="139">
        <f>VLOOKUP(A4,'лич дояры'!$A$6:$O$67,15,FALSE)</f>
        <v>67</v>
      </c>
      <c r="E4" s="139"/>
      <c r="F4" s="139"/>
      <c r="G4" s="141"/>
      <c r="H4" s="142"/>
    </row>
    <row r="5" spans="1:8" ht="15.75">
      <c r="A5" s="169">
        <v>8</v>
      </c>
      <c r="B5" s="47" t="s">
        <v>110</v>
      </c>
      <c r="C5" s="47" t="s">
        <v>44</v>
      </c>
      <c r="D5" s="47">
        <f>VLOOKUP(A5,'лич дояры'!$A$6:$O$67,15,FALSE)</f>
        <v>49</v>
      </c>
      <c r="E5" s="47"/>
      <c r="F5" s="47"/>
      <c r="G5" s="14"/>
      <c r="H5" s="66"/>
    </row>
    <row r="6" spans="1:8" s="175" customFormat="1" ht="19.5" thickBot="1">
      <c r="A6" s="170"/>
      <c r="B6" s="99"/>
      <c r="C6" s="99"/>
      <c r="D6" s="99"/>
      <c r="E6" s="99">
        <f>F6*10</f>
        <v>11610</v>
      </c>
      <c r="F6" s="99" t="str">
        <f>G6&amp;COUNTIF($G6:G$6,G6)</f>
        <v>1161</v>
      </c>
      <c r="G6" s="99">
        <f>SUM(D4:D5)</f>
        <v>116</v>
      </c>
      <c r="H6" s="145" t="s">
        <v>44</v>
      </c>
    </row>
    <row r="7" spans="1:8" ht="16.5" thickTop="1">
      <c r="A7" s="168">
        <v>18</v>
      </c>
      <c r="B7" s="139" t="s">
        <v>116</v>
      </c>
      <c r="C7" s="139" t="s">
        <v>23</v>
      </c>
      <c r="D7" s="139">
        <f>VLOOKUP(A7,'лич дояры'!$A$6:$O$67,15,FALSE)</f>
        <v>98</v>
      </c>
      <c r="E7" s="139"/>
      <c r="F7" s="139"/>
      <c r="G7" s="141"/>
      <c r="H7" s="142"/>
    </row>
    <row r="8" spans="1:8" ht="15.75">
      <c r="A8" s="169">
        <v>20</v>
      </c>
      <c r="B8" s="47" t="s">
        <v>117</v>
      </c>
      <c r="C8" s="47" t="s">
        <v>23</v>
      </c>
      <c r="D8" s="47">
        <f>VLOOKUP(A8,'лич дояры'!$A$6:$O$67,15,FALSE)</f>
        <v>82</v>
      </c>
      <c r="E8" s="47"/>
      <c r="F8" s="47"/>
      <c r="G8" s="14"/>
      <c r="H8" s="66"/>
    </row>
    <row r="9" spans="1:8" ht="19.5" thickBot="1">
      <c r="A9" s="170"/>
      <c r="B9" s="99"/>
      <c r="C9" s="99"/>
      <c r="D9" s="99"/>
      <c r="E9" s="99">
        <f>F9*10</f>
        <v>18010</v>
      </c>
      <c r="F9" s="99" t="str">
        <f>G9&amp;COUNTIF($G$6:G9,G9)</f>
        <v>1801</v>
      </c>
      <c r="G9" s="99">
        <f>SUM(D7:D8)</f>
        <v>180</v>
      </c>
      <c r="H9" s="145" t="s">
        <v>23</v>
      </c>
    </row>
    <row r="10" spans="1:8" ht="16.5" thickTop="1">
      <c r="A10" s="168">
        <v>10</v>
      </c>
      <c r="B10" s="139" t="s">
        <v>124</v>
      </c>
      <c r="C10" s="139" t="s">
        <v>9</v>
      </c>
      <c r="D10" s="139">
        <f>VLOOKUP(A10,'лич дояры'!$A$6:$O$67,15,FALSE)</f>
        <v>58</v>
      </c>
      <c r="E10" s="139"/>
      <c r="F10" s="139"/>
      <c r="G10" s="141"/>
      <c r="H10" s="142"/>
    </row>
    <row r="11" spans="1:8" ht="15.75">
      <c r="A11" s="169">
        <v>11</v>
      </c>
      <c r="B11" s="47" t="s">
        <v>125</v>
      </c>
      <c r="C11" s="47" t="s">
        <v>9</v>
      </c>
      <c r="D11" s="47">
        <f>VLOOKUP(A11,'лич дояры'!$A$6:$O$67,15,FALSE)</f>
        <v>66</v>
      </c>
      <c r="E11" s="47"/>
      <c r="F11" s="47"/>
      <c r="G11" s="14"/>
      <c r="H11" s="66"/>
    </row>
    <row r="12" spans="1:8" ht="19.5" thickBot="1">
      <c r="A12" s="170"/>
      <c r="B12" s="99"/>
      <c r="C12" s="99"/>
      <c r="D12" s="99"/>
      <c r="E12" s="99">
        <f>F12*10</f>
        <v>12410</v>
      </c>
      <c r="F12" s="99" t="str">
        <f>G12&amp;COUNTIF($G$6:G12,G12)</f>
        <v>1241</v>
      </c>
      <c r="G12" s="99">
        <f>SUM(D10:D11)</f>
        <v>124</v>
      </c>
      <c r="H12" s="145" t="s">
        <v>9</v>
      </c>
    </row>
    <row r="13" spans="1:8" ht="16.5" thickTop="1">
      <c r="A13" s="168">
        <v>36</v>
      </c>
      <c r="B13" s="139" t="s">
        <v>134</v>
      </c>
      <c r="C13" s="139" t="s">
        <v>22</v>
      </c>
      <c r="D13" s="139">
        <f>VLOOKUP(A13,'лич дояры'!$A$6:$O$67,15,FALSE)</f>
        <v>79</v>
      </c>
      <c r="E13" s="139"/>
      <c r="F13" s="139"/>
      <c r="G13" s="141"/>
      <c r="H13" s="142"/>
    </row>
    <row r="14" spans="1:8" ht="15.75">
      <c r="A14" s="169">
        <v>39</v>
      </c>
      <c r="B14" s="47" t="s">
        <v>135</v>
      </c>
      <c r="C14" s="47" t="s">
        <v>22</v>
      </c>
      <c r="D14" s="47">
        <f>VLOOKUP(A14,'лич дояры'!$A$6:$O$67,15,FALSE)</f>
        <v>85</v>
      </c>
      <c r="E14" s="47"/>
      <c r="F14" s="47"/>
      <c r="G14" s="14"/>
      <c r="H14" s="66"/>
    </row>
    <row r="15" spans="1:8" ht="19.5" thickBot="1">
      <c r="A15" s="170"/>
      <c r="B15" s="99"/>
      <c r="C15" s="99"/>
      <c r="D15" s="99"/>
      <c r="E15" s="99">
        <f>F15*10</f>
        <v>16410</v>
      </c>
      <c r="F15" s="99" t="str">
        <f>G15&amp;COUNTIF($G$6:G15,G15)</f>
        <v>1641</v>
      </c>
      <c r="G15" s="99">
        <f>SUM(D13:D14)</f>
        <v>164</v>
      </c>
      <c r="H15" s="145" t="s">
        <v>22</v>
      </c>
    </row>
    <row r="16" spans="1:8" ht="16.5" thickTop="1">
      <c r="A16" s="168">
        <v>28</v>
      </c>
      <c r="B16" s="139" t="s">
        <v>147</v>
      </c>
      <c r="C16" s="139" t="s">
        <v>11</v>
      </c>
      <c r="D16" s="139">
        <f>VLOOKUP(A16,'лич дояры'!$A$6:$O$67,15,FALSE)</f>
        <v>76</v>
      </c>
      <c r="E16" s="139"/>
      <c r="F16" s="139"/>
      <c r="G16" s="141"/>
      <c r="H16" s="142"/>
    </row>
    <row r="17" spans="1:8" ht="15.75">
      <c r="A17" s="169">
        <v>29</v>
      </c>
      <c r="B17" s="47" t="s">
        <v>148</v>
      </c>
      <c r="C17" s="47" t="s">
        <v>11</v>
      </c>
      <c r="D17" s="47">
        <f>VLOOKUP(A17,'лич дояры'!$A$6:$O$67,15,FALSE)</f>
        <v>65</v>
      </c>
      <c r="E17" s="47"/>
      <c r="F17" s="47"/>
      <c r="G17" s="14"/>
      <c r="H17" s="66"/>
    </row>
    <row r="18" spans="1:8" ht="19.5" thickBot="1">
      <c r="A18" s="170"/>
      <c r="B18" s="99"/>
      <c r="C18" s="99"/>
      <c r="D18" s="99"/>
      <c r="E18" s="99">
        <f>F18*10</f>
        <v>14110</v>
      </c>
      <c r="F18" s="99" t="str">
        <f>G18&amp;COUNTIF($G$6:G18,G18)</f>
        <v>1411</v>
      </c>
      <c r="G18" s="99">
        <f>SUM(D16:D17)</f>
        <v>141</v>
      </c>
      <c r="H18" s="145" t="s">
        <v>11</v>
      </c>
    </row>
    <row r="19" spans="1:8" ht="17.25" thickBot="1" thickTop="1">
      <c r="A19" s="168">
        <v>24</v>
      </c>
      <c r="B19" s="139" t="s">
        <v>159</v>
      </c>
      <c r="C19" s="141" t="s">
        <v>40</v>
      </c>
      <c r="D19" s="139">
        <f>VLOOKUP(A19,'лич дояры'!$A$6:$O$67,15,FALSE)</f>
        <v>72</v>
      </c>
      <c r="E19" s="139"/>
      <c r="F19" s="139"/>
      <c r="G19" s="141"/>
      <c r="H19" s="142"/>
    </row>
    <row r="20" spans="1:8" ht="17.25" thickBot="1" thickTop="1">
      <c r="A20" s="169">
        <v>25</v>
      </c>
      <c r="B20" s="47" t="s">
        <v>160</v>
      </c>
      <c r="C20" s="139" t="s">
        <v>40</v>
      </c>
      <c r="D20" s="47">
        <f>VLOOKUP(A20,'лич дояры'!$A$6:$O$67,15,FALSE)</f>
        <v>63</v>
      </c>
      <c r="E20" s="47"/>
      <c r="F20" s="47"/>
      <c r="G20" s="14"/>
      <c r="H20" s="66"/>
    </row>
    <row r="21" spans="1:8" ht="17.25" thickBot="1" thickTop="1">
      <c r="A21" s="170"/>
      <c r="B21" s="99"/>
      <c r="C21" s="99"/>
      <c r="D21" s="99"/>
      <c r="E21" s="99">
        <f>F21*10</f>
        <v>13510</v>
      </c>
      <c r="F21" s="99" t="str">
        <f>G21&amp;COUNTIF($G$6:G21,G21)</f>
        <v>1351</v>
      </c>
      <c r="G21" s="99">
        <f>SUM(D19:D20)</f>
        <v>135</v>
      </c>
      <c r="H21" s="139" t="s">
        <v>40</v>
      </c>
    </row>
    <row r="22" spans="1:8" ht="16.5" thickTop="1">
      <c r="A22" s="168">
        <v>31</v>
      </c>
      <c r="B22" s="139" t="s">
        <v>177</v>
      </c>
      <c r="C22" s="139" t="s">
        <v>26</v>
      </c>
      <c r="D22" s="139">
        <f>VLOOKUP(A22,'лич дояры'!$A$6:$O$67,15,FALSE)</f>
        <v>70</v>
      </c>
      <c r="E22" s="139"/>
      <c r="F22" s="139"/>
      <c r="G22" s="141"/>
      <c r="H22" s="142"/>
    </row>
    <row r="23" spans="1:8" ht="15.75">
      <c r="A23" s="169"/>
      <c r="B23" s="47"/>
      <c r="C23" s="47"/>
      <c r="D23" s="47"/>
      <c r="E23" s="47"/>
      <c r="F23" s="47"/>
      <c r="G23" s="14"/>
      <c r="H23" s="66"/>
    </row>
    <row r="24" spans="1:8" ht="19.5" thickBot="1">
      <c r="A24" s="170"/>
      <c r="B24" s="99"/>
      <c r="C24" s="99"/>
      <c r="D24" s="99"/>
      <c r="E24" s="99">
        <f>F24*10</f>
        <v>7010</v>
      </c>
      <c r="F24" s="99" t="str">
        <f>G24&amp;COUNTIF($G$6:G24,G24)</f>
        <v>701</v>
      </c>
      <c r="G24" s="99">
        <f>SUM(D22:D23)</f>
        <v>70</v>
      </c>
      <c r="H24" s="145" t="s">
        <v>26</v>
      </c>
    </row>
    <row r="25" spans="1:8" ht="17.25" thickBot="1" thickTop="1">
      <c r="A25" s="168">
        <v>16</v>
      </c>
      <c r="B25" s="139" t="s">
        <v>182</v>
      </c>
      <c r="C25" s="139" t="s">
        <v>24</v>
      </c>
      <c r="D25" s="139">
        <f>VLOOKUP(A25,'лич дояры'!$A$6:$O$67,15,FALSE)</f>
        <v>85</v>
      </c>
      <c r="E25" s="139"/>
      <c r="F25" s="139"/>
      <c r="G25" s="141"/>
      <c r="H25" s="142"/>
    </row>
    <row r="26" spans="1:8" ht="17.25" thickBot="1" thickTop="1">
      <c r="A26" s="169">
        <v>17</v>
      </c>
      <c r="B26" s="47" t="s">
        <v>183</v>
      </c>
      <c r="C26" s="139" t="s">
        <v>24</v>
      </c>
      <c r="D26" s="47">
        <f>VLOOKUP(A26,'лич дояры'!$A$6:$O$67,15,FALSE)</f>
        <v>69</v>
      </c>
      <c r="E26" s="47"/>
      <c r="F26" s="47"/>
      <c r="G26" s="14"/>
      <c r="H26" s="66"/>
    </row>
    <row r="27" spans="1:8" ht="17.25" thickBot="1" thickTop="1">
      <c r="A27" s="170"/>
      <c r="B27" s="99"/>
      <c r="C27" s="99"/>
      <c r="D27" s="99"/>
      <c r="E27" s="99">
        <f>F27*10</f>
        <v>15410</v>
      </c>
      <c r="F27" s="99" t="str">
        <f>G27&amp;COUNTIF($G$6:G27,G27)</f>
        <v>1541</v>
      </c>
      <c r="G27" s="99">
        <f>SUM(D25:D26)</f>
        <v>154</v>
      </c>
      <c r="H27" s="139" t="s">
        <v>24</v>
      </c>
    </row>
    <row r="28" spans="1:8" ht="17.25" thickBot="1" thickTop="1">
      <c r="A28" s="168" t="s">
        <v>398</v>
      </c>
      <c r="B28" s="139" t="s">
        <v>184</v>
      </c>
      <c r="C28" s="139" t="s">
        <v>46</v>
      </c>
      <c r="D28" s="139">
        <f>VLOOKUP(A28,'лич дояры'!$A$6:$O$67,15,FALSE)</f>
        <v>90</v>
      </c>
      <c r="E28" s="139"/>
      <c r="F28" s="139"/>
      <c r="G28" s="141"/>
      <c r="H28" s="142"/>
    </row>
    <row r="29" spans="1:8" ht="17.25" thickBot="1" thickTop="1">
      <c r="A29" s="169" t="s">
        <v>399</v>
      </c>
      <c r="B29" s="47" t="s">
        <v>185</v>
      </c>
      <c r="C29" s="139" t="s">
        <v>46</v>
      </c>
      <c r="D29" s="47">
        <f>VLOOKUP(A29,'лич дояры'!$A$6:$O$67,15,FALSE)</f>
        <v>120</v>
      </c>
      <c r="E29" s="47"/>
      <c r="F29" s="47"/>
      <c r="G29" s="14"/>
      <c r="H29" s="66"/>
    </row>
    <row r="30" spans="1:8" ht="17.25" thickBot="1" thickTop="1">
      <c r="A30" s="170"/>
      <c r="B30" s="99"/>
      <c r="C30" s="99"/>
      <c r="D30" s="99"/>
      <c r="E30" s="99">
        <f>F30*10</f>
        <v>21010</v>
      </c>
      <c r="F30" s="99" t="str">
        <f>G30&amp;COUNTIF($G$6:G30,G30)</f>
        <v>2101</v>
      </c>
      <c r="G30" s="99">
        <f>SUM(D28:D29)</f>
        <v>210</v>
      </c>
      <c r="H30" s="139" t="s">
        <v>46</v>
      </c>
    </row>
    <row r="31" spans="1:8" ht="17.25" thickBot="1" thickTop="1">
      <c r="A31" s="168">
        <v>170</v>
      </c>
      <c r="B31" s="139" t="s">
        <v>200</v>
      </c>
      <c r="C31" s="139" t="s">
        <v>20</v>
      </c>
      <c r="D31" s="139">
        <f>VLOOKUP(A31,'лич дояры'!$A$6:$O$67,15,FALSE)</f>
        <v>67</v>
      </c>
      <c r="E31" s="139"/>
      <c r="F31" s="139"/>
      <c r="G31" s="141"/>
      <c r="H31" s="141"/>
    </row>
    <row r="32" spans="1:8" ht="16.5" thickTop="1">
      <c r="A32" s="169">
        <v>171</v>
      </c>
      <c r="B32" s="47" t="s">
        <v>201</v>
      </c>
      <c r="C32" s="139" t="s">
        <v>20</v>
      </c>
      <c r="D32" s="47">
        <f>VLOOKUP(A32,'лич дояры'!$A$6:$O$67,15,FALSE)</f>
        <v>60</v>
      </c>
      <c r="E32" s="47"/>
      <c r="F32" s="47"/>
      <c r="G32" s="14"/>
      <c r="H32" s="66"/>
    </row>
    <row r="33" spans="1:8" ht="19.5" thickBot="1">
      <c r="A33" s="170"/>
      <c r="B33" s="99"/>
      <c r="C33" s="99"/>
      <c r="D33" s="99"/>
      <c r="E33" s="99">
        <f>F33*10</f>
        <v>12710</v>
      </c>
      <c r="F33" s="99" t="str">
        <f>G33&amp;COUNTIF($G$6:G33,G33)</f>
        <v>1271</v>
      </c>
      <c r="G33" s="99">
        <f>SUM(D31:D32)</f>
        <v>127</v>
      </c>
      <c r="H33" s="145" t="s">
        <v>20</v>
      </c>
    </row>
    <row r="34" spans="1:8" ht="17.25" thickBot="1" thickTop="1">
      <c r="A34" s="168">
        <v>176</v>
      </c>
      <c r="B34" s="139" t="s">
        <v>206</v>
      </c>
      <c r="C34" s="139" t="s">
        <v>25</v>
      </c>
      <c r="D34" s="139">
        <f>VLOOKUP(A34,'лич дояры'!$A$6:$O$67,15,FALSE)</f>
        <v>50</v>
      </c>
      <c r="E34" s="139"/>
      <c r="F34" s="139"/>
      <c r="G34" s="141"/>
      <c r="H34" s="142"/>
    </row>
    <row r="35" spans="1:8" ht="17.25" thickBot="1" thickTop="1">
      <c r="A35" s="169">
        <v>177</v>
      </c>
      <c r="B35" s="47" t="s">
        <v>207</v>
      </c>
      <c r="C35" s="139" t="s">
        <v>25</v>
      </c>
      <c r="D35" s="47">
        <f>VLOOKUP(A35,'лич дояры'!$A$6:$O$67,15,FALSE)</f>
        <v>52</v>
      </c>
      <c r="E35" s="47"/>
      <c r="F35" s="47"/>
      <c r="G35" s="14"/>
      <c r="H35" s="66"/>
    </row>
    <row r="36" spans="1:8" ht="17.25" thickBot="1" thickTop="1">
      <c r="A36" s="170"/>
      <c r="B36" s="99"/>
      <c r="C36" s="99"/>
      <c r="D36" s="99"/>
      <c r="E36" s="99">
        <f>F36*10</f>
        <v>10210</v>
      </c>
      <c r="F36" s="99" t="str">
        <f>G36&amp;COUNTIF($G$6:G36,G36)</f>
        <v>1021</v>
      </c>
      <c r="G36" s="99">
        <f>SUM(D34:D35)</f>
        <v>102</v>
      </c>
      <c r="H36" s="139" t="s">
        <v>25</v>
      </c>
    </row>
    <row r="37" spans="1:8" ht="16.5" thickTop="1">
      <c r="A37" s="168">
        <v>182</v>
      </c>
      <c r="B37" s="139" t="s">
        <v>220</v>
      </c>
      <c r="C37" s="139" t="s">
        <v>5</v>
      </c>
      <c r="D37" s="139">
        <f>VLOOKUP(A37,'лич дояры'!$A$6:$O$67,15,FALSE)</f>
        <v>66</v>
      </c>
      <c r="E37" s="139"/>
      <c r="F37" s="139"/>
      <c r="G37" s="141"/>
      <c r="H37" s="142"/>
    </row>
    <row r="38" spans="1:8" ht="15.75">
      <c r="A38" s="169">
        <v>183</v>
      </c>
      <c r="B38" s="47" t="s">
        <v>221</v>
      </c>
      <c r="C38" s="47" t="s">
        <v>5</v>
      </c>
      <c r="D38" s="47">
        <f>VLOOKUP(A38,'лич дояры'!$A$6:$O$67,15,FALSE)</f>
        <v>54</v>
      </c>
      <c r="E38" s="47"/>
      <c r="F38" s="47"/>
      <c r="G38" s="14"/>
      <c r="H38" s="66"/>
    </row>
    <row r="39" spans="1:8" ht="19.5" thickBot="1">
      <c r="A39" s="170"/>
      <c r="B39" s="99"/>
      <c r="C39" s="99"/>
      <c r="D39" s="99"/>
      <c r="E39" s="99">
        <f>F39*10</f>
        <v>12010</v>
      </c>
      <c r="F39" s="99" t="str">
        <f>G39&amp;COUNTIF($G$6:G39,G39)</f>
        <v>1201</v>
      </c>
      <c r="G39" s="99">
        <f>SUM(D37:D38)</f>
        <v>120</v>
      </c>
      <c r="H39" s="145" t="s">
        <v>5</v>
      </c>
    </row>
    <row r="40" spans="1:8" ht="17.25" thickBot="1" thickTop="1">
      <c r="A40" s="168" t="s">
        <v>236</v>
      </c>
      <c r="B40" s="139" t="s">
        <v>234</v>
      </c>
      <c r="C40" s="139" t="s">
        <v>30</v>
      </c>
      <c r="D40" s="139">
        <f>VLOOKUP(A40,'лич дояры'!$A$6:$O$67,15,FALSE)</f>
        <v>82</v>
      </c>
      <c r="E40" s="139"/>
      <c r="F40" s="139"/>
      <c r="G40" s="141"/>
      <c r="H40" s="142"/>
    </row>
    <row r="41" spans="1:8" ht="17.25" thickBot="1" thickTop="1">
      <c r="A41" s="169" t="s">
        <v>237</v>
      </c>
      <c r="B41" s="47" t="s">
        <v>235</v>
      </c>
      <c r="C41" s="139" t="s">
        <v>30</v>
      </c>
      <c r="D41" s="47">
        <f>VLOOKUP(A41,'лич дояры'!$A$6:$O$67,15,FALSE)</f>
        <v>79</v>
      </c>
      <c r="E41" s="47"/>
      <c r="F41" s="47"/>
      <c r="G41" s="14"/>
      <c r="H41" s="66"/>
    </row>
    <row r="42" spans="1:8" ht="17.25" thickBot="1" thickTop="1">
      <c r="A42" s="170"/>
      <c r="B42" s="99"/>
      <c r="C42" s="99"/>
      <c r="D42" s="99"/>
      <c r="E42" s="99">
        <f>F42*10</f>
        <v>16110</v>
      </c>
      <c r="F42" s="99" t="str">
        <f>G42&amp;COUNTIF($G$6:G42,G42)</f>
        <v>1611</v>
      </c>
      <c r="G42" s="99">
        <f>SUM(D40:D41)</f>
        <v>161</v>
      </c>
      <c r="H42" s="139" t="s">
        <v>30</v>
      </c>
    </row>
    <row r="43" spans="1:8" ht="17.25" thickBot="1" thickTop="1">
      <c r="A43" s="168">
        <v>32</v>
      </c>
      <c r="B43" s="139" t="s">
        <v>263</v>
      </c>
      <c r="C43" s="139" t="s">
        <v>45</v>
      </c>
      <c r="D43" s="139">
        <f>VLOOKUP(A43,'лич дояры'!$A$6:$O$67,15,FALSE)</f>
        <v>64</v>
      </c>
      <c r="E43" s="139"/>
      <c r="F43" s="139"/>
      <c r="G43" s="141"/>
      <c r="H43" s="142"/>
    </row>
    <row r="44" spans="1:8" ht="16.5" thickTop="1">
      <c r="A44" s="169" t="s">
        <v>397</v>
      </c>
      <c r="B44" s="47" t="s">
        <v>264</v>
      </c>
      <c r="C44" s="139" t="s">
        <v>45</v>
      </c>
      <c r="D44" s="47">
        <f>VLOOKUP(A44,'лич дояры'!$A$6:$O$67,15,FALSE)</f>
        <v>98</v>
      </c>
      <c r="E44" s="47"/>
      <c r="F44" s="47"/>
      <c r="G44" s="14"/>
      <c r="H44" s="66"/>
    </row>
    <row r="45" spans="1:8" ht="19.5" thickBot="1">
      <c r="A45" s="170"/>
      <c r="B45" s="99"/>
      <c r="C45" s="99"/>
      <c r="D45" s="99"/>
      <c r="E45" s="99">
        <f>F45*10</f>
        <v>16210</v>
      </c>
      <c r="F45" s="99" t="str">
        <f>G45&amp;COUNTIF($G$6:G45,G45)</f>
        <v>1621</v>
      </c>
      <c r="G45" s="99">
        <f>SUM(D43:D44)</f>
        <v>162</v>
      </c>
      <c r="H45" s="145" t="s">
        <v>45</v>
      </c>
    </row>
    <row r="46" spans="1:8" ht="17.25" thickBot="1" thickTop="1">
      <c r="A46" s="168" t="s">
        <v>331</v>
      </c>
      <c r="B46" s="139" t="s">
        <v>265</v>
      </c>
      <c r="C46" s="139" t="s">
        <v>38</v>
      </c>
      <c r="D46" s="139">
        <f>VLOOKUP(A46,'лич дояры'!$A$6:$O$67,15,FALSE)</f>
        <v>62</v>
      </c>
      <c r="E46" s="139"/>
      <c r="F46" s="139"/>
      <c r="G46" s="141"/>
      <c r="H46" s="142"/>
    </row>
    <row r="47" spans="1:8" ht="16.5" thickTop="1">
      <c r="A47" s="169" t="s">
        <v>332</v>
      </c>
      <c r="B47" s="47" t="s">
        <v>266</v>
      </c>
      <c r="C47" s="139" t="s">
        <v>38</v>
      </c>
      <c r="D47" s="47">
        <f>VLOOKUP(A47,'лич дояры'!$A$6:$O$67,15,FALSE)</f>
        <v>57</v>
      </c>
      <c r="E47" s="47"/>
      <c r="F47" s="47"/>
      <c r="G47" s="14"/>
      <c r="H47" s="66"/>
    </row>
    <row r="48" spans="1:8" ht="19.5" thickBot="1">
      <c r="A48" s="170"/>
      <c r="B48" s="99"/>
      <c r="C48" s="99"/>
      <c r="D48" s="99"/>
      <c r="E48" s="99">
        <f>F48*10</f>
        <v>11910</v>
      </c>
      <c r="F48" s="99" t="str">
        <f>G48&amp;COUNTIF($G$6:G48,G48)</f>
        <v>1191</v>
      </c>
      <c r="G48" s="99">
        <f>SUM(D46:D47)</f>
        <v>119</v>
      </c>
      <c r="H48" s="145" t="s">
        <v>38</v>
      </c>
    </row>
    <row r="49" spans="1:8" ht="17.25" thickBot="1" thickTop="1">
      <c r="A49" s="168" t="s">
        <v>269</v>
      </c>
      <c r="B49" s="139" t="s">
        <v>267</v>
      </c>
      <c r="C49" s="139" t="s">
        <v>4</v>
      </c>
      <c r="D49" s="139">
        <f>VLOOKUP(A49,'лич дояры'!$A$6:$O$67,15,FALSE)</f>
        <v>53</v>
      </c>
      <c r="E49" s="139"/>
      <c r="F49" s="139"/>
      <c r="G49" s="141"/>
      <c r="H49" s="142"/>
    </row>
    <row r="50" spans="1:8" ht="16.5" thickTop="1">
      <c r="A50" s="169" t="s">
        <v>270</v>
      </c>
      <c r="B50" s="47" t="s">
        <v>268</v>
      </c>
      <c r="C50" s="139" t="s">
        <v>4</v>
      </c>
      <c r="D50" s="47">
        <f>VLOOKUP(A50,'лич дояры'!$A$6:$O$67,15,FALSE)</f>
        <v>55</v>
      </c>
      <c r="E50" s="47"/>
      <c r="F50" s="47"/>
      <c r="G50" s="14"/>
      <c r="H50" s="66"/>
    </row>
    <row r="51" spans="1:8" ht="19.5" thickBot="1">
      <c r="A51" s="170"/>
      <c r="B51" s="99"/>
      <c r="C51" s="99"/>
      <c r="D51" s="99"/>
      <c r="E51" s="99">
        <f>F51*10</f>
        <v>10810</v>
      </c>
      <c r="F51" s="99" t="str">
        <f>G51&amp;COUNTIF($G$6:G51,G51)</f>
        <v>1081</v>
      </c>
      <c r="G51" s="99">
        <f>SUM(D49:D50)</f>
        <v>108</v>
      </c>
      <c r="H51" s="145" t="s">
        <v>4</v>
      </c>
    </row>
    <row r="52" spans="1:8" ht="17.25" thickBot="1" thickTop="1">
      <c r="A52" s="168">
        <v>188</v>
      </c>
      <c r="B52" s="139" t="s">
        <v>271</v>
      </c>
      <c r="C52" s="139" t="s">
        <v>19</v>
      </c>
      <c r="D52" s="139">
        <f>VLOOKUP(A52,'лич дояры'!$A$6:$O$67,15,FALSE)</f>
        <v>69</v>
      </c>
      <c r="E52" s="139"/>
      <c r="F52" s="139"/>
      <c r="G52" s="141"/>
      <c r="H52" s="142"/>
    </row>
    <row r="53" spans="1:8" ht="16.5" thickTop="1">
      <c r="A53" s="169">
        <v>189</v>
      </c>
      <c r="B53" s="47" t="s">
        <v>272</v>
      </c>
      <c r="C53" s="139" t="s">
        <v>19</v>
      </c>
      <c r="D53" s="47">
        <f>VLOOKUP(A53,'лич дояры'!$A$6:$O$67,15,FALSE)</f>
        <v>56</v>
      </c>
      <c r="E53" s="47"/>
      <c r="F53" s="47"/>
      <c r="G53" s="14"/>
      <c r="H53" s="66"/>
    </row>
    <row r="54" spans="1:8" ht="19.5" thickBot="1">
      <c r="A54" s="170"/>
      <c r="B54" s="99"/>
      <c r="C54" s="99"/>
      <c r="D54" s="99"/>
      <c r="E54" s="99">
        <f>F54*10</f>
        <v>12510</v>
      </c>
      <c r="F54" s="99" t="str">
        <f>G54&amp;COUNTIF($G$6:G54,G54)</f>
        <v>1251</v>
      </c>
      <c r="G54" s="99">
        <f>SUM(D52:D53)</f>
        <v>125</v>
      </c>
      <c r="H54" s="145" t="s">
        <v>19</v>
      </c>
    </row>
    <row r="55" spans="1:8" ht="17.25" thickBot="1" thickTop="1">
      <c r="A55" s="168">
        <v>172</v>
      </c>
      <c r="B55" s="139" t="s">
        <v>273</v>
      </c>
      <c r="C55" s="139" t="s">
        <v>3</v>
      </c>
      <c r="D55" s="139">
        <f>VLOOKUP(A55,'лич дояры'!$A$6:$O$67,15,FALSE)</f>
        <v>68</v>
      </c>
      <c r="E55" s="139"/>
      <c r="F55" s="139"/>
      <c r="G55" s="141"/>
      <c r="H55" s="142"/>
    </row>
    <row r="56" spans="1:8" ht="17.25" thickBot="1" thickTop="1">
      <c r="A56" s="169">
        <v>173</v>
      </c>
      <c r="B56" s="47" t="s">
        <v>274</v>
      </c>
      <c r="C56" s="139" t="s">
        <v>3</v>
      </c>
      <c r="D56" s="47">
        <f>VLOOKUP(A56,'лич дояры'!$A$6:$O$67,15,FALSE)</f>
        <v>74</v>
      </c>
      <c r="E56" s="47"/>
      <c r="F56" s="47"/>
      <c r="G56" s="14"/>
      <c r="H56" s="66"/>
    </row>
    <row r="57" spans="1:8" ht="17.25" thickBot="1" thickTop="1">
      <c r="A57" s="170"/>
      <c r="B57" s="99"/>
      <c r="C57" s="99"/>
      <c r="D57" s="99"/>
      <c r="E57" s="99">
        <f>F57*10</f>
        <v>14210</v>
      </c>
      <c r="F57" s="99" t="str">
        <f>G57&amp;COUNTIF($G$6:G57,G57)</f>
        <v>1421</v>
      </c>
      <c r="G57" s="99">
        <f>SUM(D55:D56)</f>
        <v>142</v>
      </c>
      <c r="H57" s="139" t="s">
        <v>3</v>
      </c>
    </row>
    <row r="58" spans="1:8" ht="17.25" thickBot="1" thickTop="1">
      <c r="A58" s="168">
        <v>186</v>
      </c>
      <c r="B58" s="139" t="s">
        <v>275</v>
      </c>
      <c r="C58" s="139" t="s">
        <v>43</v>
      </c>
      <c r="D58" s="139">
        <f>VLOOKUP(A58,'лич дояры'!$A$6:$O$67,15,FALSE)</f>
        <v>68</v>
      </c>
      <c r="E58" s="139"/>
      <c r="F58" s="139"/>
      <c r="G58" s="141"/>
      <c r="H58" s="142"/>
    </row>
    <row r="59" spans="1:8" ht="16.5" thickTop="1">
      <c r="A59" s="169">
        <v>187</v>
      </c>
      <c r="B59" s="47" t="s">
        <v>276</v>
      </c>
      <c r="C59" s="139" t="s">
        <v>43</v>
      </c>
      <c r="D59" s="47"/>
      <c r="E59" s="47"/>
      <c r="F59" s="47"/>
      <c r="G59" s="14"/>
      <c r="H59" s="66"/>
    </row>
    <row r="60" spans="1:8" ht="19.5" thickBot="1">
      <c r="A60" s="170"/>
      <c r="B60" s="99"/>
      <c r="C60" s="99"/>
      <c r="D60" s="99"/>
      <c r="E60" s="99">
        <f>F60*10</f>
        <v>6810</v>
      </c>
      <c r="F60" s="99" t="str">
        <f>G60&amp;COUNTIF($G$6:G60,G60)</f>
        <v>681</v>
      </c>
      <c r="G60" s="99">
        <f>SUM(D58:D59)</f>
        <v>68</v>
      </c>
      <c r="H60" s="145" t="s">
        <v>43</v>
      </c>
    </row>
    <row r="61" spans="1:8" ht="16.5" thickTop="1">
      <c r="A61" s="168">
        <v>26</v>
      </c>
      <c r="B61" s="139" t="s">
        <v>277</v>
      </c>
      <c r="C61" s="139" t="s">
        <v>39</v>
      </c>
      <c r="D61" s="139">
        <f>VLOOKUP(A61,'лич дояры'!$A$6:$O$67,15,FALSE)</f>
        <v>74</v>
      </c>
      <c r="E61" s="139"/>
      <c r="F61" s="139"/>
      <c r="G61" s="141"/>
      <c r="H61" s="142"/>
    </row>
    <row r="62" spans="1:8" ht="15.75">
      <c r="A62" s="169"/>
      <c r="B62" s="47"/>
      <c r="C62" s="47"/>
      <c r="D62" s="47"/>
      <c r="E62" s="47"/>
      <c r="F62" s="47"/>
      <c r="G62" s="14"/>
      <c r="H62" s="66"/>
    </row>
    <row r="63" spans="1:8" ht="19.5" thickBot="1">
      <c r="A63" s="170"/>
      <c r="B63" s="99"/>
      <c r="C63" s="99"/>
      <c r="D63" s="99"/>
      <c r="E63" s="99">
        <f>F63*10</f>
        <v>7410</v>
      </c>
      <c r="F63" s="99" t="str">
        <f>G63&amp;COUNTIF($G$6:G63,G63)</f>
        <v>741</v>
      </c>
      <c r="G63" s="99">
        <f>SUM(D61:D62)</f>
        <v>74</v>
      </c>
      <c r="H63" s="145" t="s">
        <v>42</v>
      </c>
    </row>
    <row r="64" spans="1:8" ht="16.5" thickTop="1">
      <c r="A64" s="168">
        <v>191</v>
      </c>
      <c r="B64" s="47" t="s">
        <v>278</v>
      </c>
      <c r="C64" s="47" t="s">
        <v>28</v>
      </c>
      <c r="D64" s="139">
        <f>VLOOKUP(A64,'лич дояры'!$A$6:$O$67,15,FALSE)</f>
        <v>108</v>
      </c>
      <c r="E64" s="139"/>
      <c r="F64" s="139"/>
      <c r="G64" s="141"/>
      <c r="H64" s="142"/>
    </row>
    <row r="65" spans="1:8" ht="15.75">
      <c r="A65" s="169">
        <v>192</v>
      </c>
      <c r="B65" t="s">
        <v>279</v>
      </c>
      <c r="C65" s="14" t="s">
        <v>28</v>
      </c>
      <c r="D65" s="47">
        <f>VLOOKUP(A65,'лич дояры'!$A$6:$O$67,15,FALSE)</f>
        <v>76</v>
      </c>
      <c r="E65" s="47"/>
      <c r="F65" s="47"/>
      <c r="G65" s="14"/>
      <c r="H65" s="66"/>
    </row>
    <row r="66" spans="1:8" ht="19.5" thickBot="1">
      <c r="A66" s="170"/>
      <c r="B66" s="99"/>
      <c r="C66" s="99"/>
      <c r="D66" s="99"/>
      <c r="E66" s="99">
        <f>F66*10</f>
        <v>18410</v>
      </c>
      <c r="F66" s="99" t="str">
        <f>G66&amp;COUNTIF($G$6:G66,G66)</f>
        <v>1841</v>
      </c>
      <c r="G66" s="99">
        <f>SUM(D64:D65)</f>
        <v>184</v>
      </c>
      <c r="H66" s="145" t="s">
        <v>28</v>
      </c>
    </row>
    <row r="67" spans="1:8" ht="16.5" thickTop="1">
      <c r="A67" s="168">
        <v>14</v>
      </c>
      <c r="B67" s="139" t="s">
        <v>293</v>
      </c>
      <c r="C67" s="139" t="s">
        <v>10</v>
      </c>
      <c r="D67" s="139">
        <f>VLOOKUP(A67,'лич дояры'!$A$6:$O$67,15,FALSE)</f>
        <v>72</v>
      </c>
      <c r="E67" s="139"/>
      <c r="F67" s="139"/>
      <c r="G67" s="141"/>
      <c r="H67" s="142"/>
    </row>
    <row r="68" spans="1:8" ht="15.75">
      <c r="A68" s="169">
        <v>15</v>
      </c>
      <c r="B68" s="47" t="s">
        <v>294</v>
      </c>
      <c r="C68" s="47" t="s">
        <v>10</v>
      </c>
      <c r="D68" s="47">
        <f>VLOOKUP(A68,'лич дояры'!$A$6:$O$67,15,FALSE)</f>
        <v>51</v>
      </c>
      <c r="E68" s="47"/>
      <c r="F68" s="47"/>
      <c r="G68" s="14"/>
      <c r="H68" s="66"/>
    </row>
    <row r="69" spans="1:8" ht="19.5" thickBot="1">
      <c r="A69" s="170"/>
      <c r="B69" s="99"/>
      <c r="C69" s="99"/>
      <c r="D69" s="99"/>
      <c r="E69" s="99">
        <f>F69*10</f>
        <v>12310</v>
      </c>
      <c r="F69" s="99" t="str">
        <f>G69&amp;COUNTIF($G$6:G69,G69)</f>
        <v>1231</v>
      </c>
      <c r="G69" s="99">
        <f>SUM(D67:D68)</f>
        <v>123</v>
      </c>
      <c r="H69" s="145" t="s">
        <v>10</v>
      </c>
    </row>
    <row r="70" spans="1:8" ht="16.5" thickTop="1">
      <c r="A70" s="168" t="s">
        <v>300</v>
      </c>
      <c r="B70" s="139" t="s">
        <v>299</v>
      </c>
      <c r="C70" s="139" t="s">
        <v>21</v>
      </c>
      <c r="D70" s="139">
        <f>VLOOKUP(A70,'лич дояры'!$A$6:$O$67,15,FALSE)</f>
        <v>108</v>
      </c>
      <c r="E70" s="139"/>
      <c r="F70" s="139"/>
      <c r="G70" s="141"/>
      <c r="H70" s="142"/>
    </row>
    <row r="71" spans="1:8" ht="15.75">
      <c r="A71" s="169" t="s">
        <v>301</v>
      </c>
      <c r="B71" s="47" t="s">
        <v>302</v>
      </c>
      <c r="C71" s="47" t="s">
        <v>21</v>
      </c>
      <c r="D71" s="47">
        <f>VLOOKUP(A71,'лич дояры'!$A$6:$O$67,15,FALSE)</f>
        <v>120</v>
      </c>
      <c r="E71" s="47"/>
      <c r="F71" s="47"/>
      <c r="G71" s="14"/>
      <c r="H71" s="66"/>
    </row>
    <row r="72" spans="1:8" ht="19.5" thickBot="1">
      <c r="A72" s="170"/>
      <c r="B72" s="99"/>
      <c r="C72" s="99"/>
      <c r="D72" s="99"/>
      <c r="E72" s="99">
        <f>F72*10</f>
        <v>22810</v>
      </c>
      <c r="F72" s="99" t="str">
        <f>G72&amp;COUNTIF($G$6:G72,G72)</f>
        <v>2281</v>
      </c>
      <c r="G72" s="99">
        <f>SUM(D70:D71)</f>
        <v>228</v>
      </c>
      <c r="H72" s="145" t="s">
        <v>21</v>
      </c>
    </row>
    <row r="73" spans="1:8" ht="16.5" thickTop="1">
      <c r="A73" s="168">
        <v>195</v>
      </c>
      <c r="B73" s="139" t="s">
        <v>303</v>
      </c>
      <c r="C73" s="139" t="s">
        <v>27</v>
      </c>
      <c r="D73" s="139">
        <f>VLOOKUP(A73,'лич дояры'!$A$6:$O$67,15,FALSE)</f>
        <v>59</v>
      </c>
      <c r="E73" s="139"/>
      <c r="F73" s="139"/>
      <c r="G73" s="141"/>
      <c r="H73" s="142"/>
    </row>
    <row r="74" spans="1:8" ht="15.75">
      <c r="A74" s="169">
        <v>196</v>
      </c>
      <c r="B74" s="47" t="s">
        <v>304</v>
      </c>
      <c r="C74" s="47" t="s">
        <v>27</v>
      </c>
      <c r="D74" s="47">
        <f>VLOOKUP(A74,'лич дояры'!$A$6:$O$67,15,FALSE)</f>
        <v>61</v>
      </c>
      <c r="E74" s="47"/>
      <c r="F74" s="47"/>
      <c r="G74" s="14"/>
      <c r="H74" s="66"/>
    </row>
    <row r="75" spans="1:8" ht="19.5" thickBot="1">
      <c r="A75" s="170"/>
      <c r="B75" s="99"/>
      <c r="C75" s="99"/>
      <c r="D75" s="99"/>
      <c r="E75" s="99">
        <f>F75*10</f>
        <v>12020</v>
      </c>
      <c r="F75" s="99" t="str">
        <f>G75&amp;COUNTIF($G$6:G75,G75)</f>
        <v>1202</v>
      </c>
      <c r="G75" s="99">
        <f>SUM(D73:D74)</f>
        <v>120</v>
      </c>
      <c r="H75" s="145" t="s">
        <v>27</v>
      </c>
    </row>
    <row r="76" spans="1:8" ht="16.5" thickTop="1">
      <c r="A76" s="168"/>
      <c r="B76" s="139"/>
      <c r="C76" s="139"/>
      <c r="D76" s="139"/>
      <c r="E76" s="139"/>
      <c r="F76" s="139"/>
      <c r="G76" s="141"/>
      <c r="H76" s="142"/>
    </row>
    <row r="77" spans="1:8" ht="15.75">
      <c r="A77" s="169"/>
      <c r="B77" s="47"/>
      <c r="C77" s="47"/>
      <c r="D77" s="47"/>
      <c r="E77" s="47"/>
      <c r="F77" s="47"/>
      <c r="G77" s="14"/>
      <c r="H77" s="66"/>
    </row>
    <row r="78" spans="1:8" ht="19.5" thickBot="1">
      <c r="A78" s="170"/>
      <c r="B78" s="99"/>
      <c r="C78" s="99"/>
      <c r="D78" s="99"/>
      <c r="E78" s="99"/>
      <c r="F78" s="99"/>
      <c r="G78" s="99"/>
      <c r="H78" s="145"/>
    </row>
    <row r="79" spans="1:8" ht="16.5" thickTop="1">
      <c r="A79" s="168"/>
      <c r="B79" s="139"/>
      <c r="C79" s="139"/>
      <c r="D79" s="139"/>
      <c r="E79" s="139"/>
      <c r="F79" s="139"/>
      <c r="G79" s="141"/>
      <c r="H79" s="142"/>
    </row>
    <row r="80" spans="1:8" ht="15.75">
      <c r="A80" s="169"/>
      <c r="B80" s="47"/>
      <c r="C80" s="47"/>
      <c r="D80" s="47"/>
      <c r="E80" s="47"/>
      <c r="F80" s="47"/>
      <c r="G80" s="14"/>
      <c r="H80" s="66"/>
    </row>
    <row r="81" spans="1:8" ht="19.5" thickBot="1">
      <c r="A81" s="170"/>
      <c r="B81" s="99"/>
      <c r="C81" s="99"/>
      <c r="D81" s="99"/>
      <c r="E81" s="99"/>
      <c r="F81" s="99"/>
      <c r="G81" s="99"/>
      <c r="H81" s="145"/>
    </row>
    <row r="82" spans="1:8" ht="16.5" thickTop="1">
      <c r="A82" s="168"/>
      <c r="B82" s="139"/>
      <c r="C82" s="139"/>
      <c r="D82" s="139"/>
      <c r="E82" s="139"/>
      <c r="F82" s="139"/>
      <c r="G82" s="141"/>
      <c r="H82" s="142"/>
    </row>
    <row r="83" spans="1:8" ht="15.75">
      <c r="A83" s="169"/>
      <c r="B83" s="47"/>
      <c r="C83" s="47"/>
      <c r="D83" s="47"/>
      <c r="E83" s="47"/>
      <c r="F83" s="47"/>
      <c r="G83" s="14"/>
      <c r="H83" s="66"/>
    </row>
    <row r="84" spans="1:8" ht="19.5" thickBot="1">
      <c r="A84" s="170"/>
      <c r="B84" s="99"/>
      <c r="C84" s="99"/>
      <c r="D84" s="99"/>
      <c r="E84" s="99"/>
      <c r="F84" s="99"/>
      <c r="G84" s="99"/>
      <c r="H84" s="145"/>
    </row>
    <row r="85" spans="1:8" ht="16.5" thickTop="1">
      <c r="A85" s="168"/>
      <c r="B85" s="139"/>
      <c r="C85" s="139"/>
      <c r="D85" s="139"/>
      <c r="E85" s="139"/>
      <c r="F85" s="139"/>
      <c r="G85" s="141"/>
      <c r="H85" s="142"/>
    </row>
    <row r="86" spans="1:8" ht="15.75">
      <c r="A86" s="169"/>
      <c r="B86" s="47"/>
      <c r="C86" s="47"/>
      <c r="D86" s="47"/>
      <c r="E86" s="47"/>
      <c r="F86" s="47"/>
      <c r="G86" s="14"/>
      <c r="H86" s="66"/>
    </row>
    <row r="87" spans="1:8" ht="19.5" thickBot="1">
      <c r="A87" s="170"/>
      <c r="B87" s="99"/>
      <c r="C87" s="99"/>
      <c r="D87" s="99"/>
      <c r="E87" s="99"/>
      <c r="F87" s="99"/>
      <c r="G87" s="99"/>
      <c r="H87" s="145"/>
    </row>
    <row r="88" spans="1:8" ht="16.5" thickTop="1">
      <c r="A88" s="168"/>
      <c r="B88" s="139"/>
      <c r="C88" s="139"/>
      <c r="D88" s="139"/>
      <c r="E88" s="139"/>
      <c r="F88" s="139"/>
      <c r="G88" s="141"/>
      <c r="H88" s="142"/>
    </row>
    <row r="89" spans="1:8" ht="15.75">
      <c r="A89" s="169"/>
      <c r="B89" s="47"/>
      <c r="C89" s="47"/>
      <c r="D89" s="47"/>
      <c r="E89" s="47"/>
      <c r="F89" s="47"/>
      <c r="G89" s="14"/>
      <c r="H89" s="66"/>
    </row>
    <row r="90" spans="1:8" ht="19.5" thickBot="1">
      <c r="A90" s="170"/>
      <c r="B90" s="99"/>
      <c r="C90" s="99"/>
      <c r="D90" s="99"/>
      <c r="E90" s="99"/>
      <c r="F90" s="99"/>
      <c r="G90" s="99"/>
      <c r="H90" s="145"/>
    </row>
    <row r="91" spans="1:8" ht="16.5" thickTop="1">
      <c r="A91" s="168"/>
      <c r="B91" s="139"/>
      <c r="C91" s="139"/>
      <c r="D91" s="139"/>
      <c r="E91" s="139"/>
      <c r="F91" s="139"/>
      <c r="G91" s="141"/>
      <c r="H91" s="142"/>
    </row>
    <row r="92" spans="1:8" ht="15.75">
      <c r="A92" s="169"/>
      <c r="B92" s="47"/>
      <c r="C92" s="47"/>
      <c r="D92" s="47"/>
      <c r="E92" s="47"/>
      <c r="F92" s="47"/>
      <c r="G92" s="14"/>
      <c r="H92" s="66"/>
    </row>
    <row r="93" spans="1:8" ht="19.5" thickBot="1">
      <c r="A93" s="170"/>
      <c r="B93" s="99"/>
      <c r="C93" s="99"/>
      <c r="D93" s="99"/>
      <c r="E93" s="99"/>
      <c r="F93" s="99"/>
      <c r="G93" s="99"/>
      <c r="H93" s="145"/>
    </row>
    <row r="94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0"/>
  <sheetViews>
    <sheetView view="pageBreakPreview" zoomScaleSheetLayoutView="100" workbookViewId="0" topLeftCell="A1">
      <selection activeCell="L18" sqref="L18"/>
    </sheetView>
  </sheetViews>
  <sheetFormatPr defaultColWidth="9.140625" defaultRowHeight="12.75"/>
  <cols>
    <col min="2" max="2" width="31.57421875" style="0" customWidth="1"/>
    <col min="3" max="3" width="7.28125" style="50" hidden="1" customWidth="1"/>
    <col min="4" max="4" width="11.140625" style="8" customWidth="1"/>
    <col min="5" max="5" width="18.140625" style="0" customWidth="1"/>
  </cols>
  <sheetData>
    <row r="1" spans="2:47" ht="47.25" customHeight="1" thickBot="1">
      <c r="B1" s="328" t="s">
        <v>56</v>
      </c>
      <c r="C1" s="328"/>
      <c r="D1" s="328"/>
      <c r="E1" s="328"/>
      <c r="F1" s="328"/>
      <c r="G1" s="31"/>
      <c r="H1" s="147">
        <v>1</v>
      </c>
      <c r="I1" s="147">
        <v>2</v>
      </c>
      <c r="J1" s="147">
        <v>3</v>
      </c>
      <c r="K1" s="28">
        <v>4</v>
      </c>
      <c r="L1" s="28">
        <v>5</v>
      </c>
      <c r="M1" s="28">
        <v>6</v>
      </c>
      <c r="N1" s="28">
        <v>7</v>
      </c>
      <c r="O1" s="28">
        <v>8</v>
      </c>
      <c r="P1" s="28">
        <v>9</v>
      </c>
      <c r="Q1" s="28">
        <v>10</v>
      </c>
      <c r="R1" s="28">
        <v>11</v>
      </c>
      <c r="S1" s="28">
        <v>12</v>
      </c>
      <c r="T1" s="28">
        <v>13</v>
      </c>
      <c r="U1" s="28">
        <v>14</v>
      </c>
      <c r="V1" s="28">
        <v>15</v>
      </c>
      <c r="W1" s="28">
        <v>16</v>
      </c>
      <c r="X1" s="28">
        <v>17</v>
      </c>
      <c r="Y1" s="28">
        <v>18</v>
      </c>
      <c r="Z1" s="28">
        <v>19</v>
      </c>
      <c r="AA1" s="28">
        <v>20</v>
      </c>
      <c r="AB1" s="28">
        <v>21</v>
      </c>
      <c r="AC1" s="28">
        <v>22</v>
      </c>
      <c r="AD1" s="28">
        <v>23</v>
      </c>
      <c r="AE1" s="28">
        <v>24</v>
      </c>
      <c r="AF1" s="28">
        <v>25</v>
      </c>
      <c r="AG1" s="28">
        <v>26</v>
      </c>
      <c r="AH1" s="28">
        <v>27</v>
      </c>
      <c r="AI1" s="28">
        <v>28</v>
      </c>
      <c r="AJ1" s="28">
        <v>29</v>
      </c>
      <c r="AK1" s="28">
        <v>30</v>
      </c>
      <c r="AL1" s="28">
        <v>31</v>
      </c>
      <c r="AM1" s="28">
        <v>32</v>
      </c>
      <c r="AN1" s="28">
        <v>33</v>
      </c>
      <c r="AO1" s="28">
        <v>34</v>
      </c>
      <c r="AP1" s="28">
        <v>35</v>
      </c>
      <c r="AQ1" s="28">
        <v>36</v>
      </c>
      <c r="AR1" s="28">
        <v>37</v>
      </c>
      <c r="AS1" s="28">
        <v>38</v>
      </c>
      <c r="AT1" s="28">
        <v>39</v>
      </c>
      <c r="AU1" s="28">
        <v>40</v>
      </c>
    </row>
    <row r="2" spans="2:47" ht="47.25" customHeight="1" thickBot="1">
      <c r="B2" s="123"/>
      <c r="C2" s="123"/>
      <c r="D2" s="158"/>
      <c r="E2" s="123"/>
      <c r="F2" s="123"/>
      <c r="G2" s="31"/>
      <c r="H2" s="148">
        <v>480</v>
      </c>
      <c r="I2" s="148">
        <v>432</v>
      </c>
      <c r="J2" s="148">
        <v>392</v>
      </c>
      <c r="K2" s="39">
        <v>360</v>
      </c>
      <c r="L2" s="39">
        <v>340</v>
      </c>
      <c r="M2" s="39">
        <v>328</v>
      </c>
      <c r="N2" s="39">
        <v>316</v>
      </c>
      <c r="O2" s="39">
        <v>304</v>
      </c>
      <c r="P2" s="39">
        <v>296</v>
      </c>
      <c r="Q2" s="39">
        <v>288</v>
      </c>
      <c r="R2" s="39">
        <v>280</v>
      </c>
      <c r="S2" s="39">
        <v>276</v>
      </c>
      <c r="T2" s="39">
        <v>272</v>
      </c>
      <c r="U2" s="39">
        <v>268</v>
      </c>
      <c r="V2" s="39">
        <v>264</v>
      </c>
      <c r="W2" s="39">
        <v>260</v>
      </c>
      <c r="X2" s="39">
        <v>256</v>
      </c>
      <c r="Y2" s="39">
        <v>252</v>
      </c>
      <c r="Z2" s="39">
        <v>248</v>
      </c>
      <c r="AA2" s="40">
        <v>244</v>
      </c>
      <c r="AB2" s="41">
        <v>240</v>
      </c>
      <c r="AC2" s="39">
        <v>236</v>
      </c>
      <c r="AD2" s="39">
        <v>232</v>
      </c>
      <c r="AE2" s="39">
        <v>228</v>
      </c>
      <c r="AF2" s="39">
        <v>224</v>
      </c>
      <c r="AG2" s="39">
        <v>220</v>
      </c>
      <c r="AH2" s="39">
        <v>216</v>
      </c>
      <c r="AI2" s="39">
        <v>212</v>
      </c>
      <c r="AJ2" s="39">
        <v>208</v>
      </c>
      <c r="AK2" s="39">
        <v>204</v>
      </c>
      <c r="AL2" s="39">
        <v>200</v>
      </c>
      <c r="AM2" s="39">
        <v>196</v>
      </c>
      <c r="AN2" s="39">
        <v>192</v>
      </c>
      <c r="AO2" s="39">
        <v>188</v>
      </c>
      <c r="AP2" s="39">
        <v>184</v>
      </c>
      <c r="AQ2" s="39">
        <v>180</v>
      </c>
      <c r="AR2" s="39">
        <v>176</v>
      </c>
      <c r="AS2" s="39">
        <v>172</v>
      </c>
      <c r="AT2" s="39">
        <v>168</v>
      </c>
      <c r="AU2" s="40">
        <v>164</v>
      </c>
    </row>
    <row r="3" spans="2:10" ht="37.5" customHeight="1">
      <c r="B3" s="305" t="s">
        <v>85</v>
      </c>
      <c r="C3" s="305"/>
      <c r="D3" s="305"/>
      <c r="E3" s="305"/>
      <c r="F3" s="305"/>
      <c r="G3" s="45"/>
      <c r="H3" s="24"/>
      <c r="I3" s="5"/>
      <c r="J3" s="5"/>
    </row>
    <row r="4" spans="2:10" ht="15.75">
      <c r="B4" s="31"/>
      <c r="C4" s="52"/>
      <c r="D4" s="159"/>
      <c r="E4" s="31"/>
      <c r="F4" s="31"/>
      <c r="G4" s="31"/>
      <c r="H4" s="24"/>
      <c r="I4" s="5"/>
      <c r="J4" s="5"/>
    </row>
    <row r="5" spans="2:10" ht="39.75" customHeight="1">
      <c r="B5" s="305" t="s">
        <v>90</v>
      </c>
      <c r="C5" s="305"/>
      <c r="D5" s="305"/>
      <c r="E5" s="305"/>
      <c r="F5" s="305"/>
      <c r="G5" s="32"/>
      <c r="H5" s="24"/>
      <c r="I5" s="5"/>
      <c r="J5" s="5"/>
    </row>
    <row r="6" spans="2:10" ht="18" customHeight="1">
      <c r="B6" s="32"/>
      <c r="C6" s="53"/>
      <c r="D6" s="160"/>
      <c r="E6" s="32"/>
      <c r="F6" s="32"/>
      <c r="G6" s="32"/>
      <c r="H6" s="24"/>
      <c r="I6" s="5"/>
      <c r="J6" s="5"/>
    </row>
    <row r="7" spans="2:10" ht="16.5" thickBot="1">
      <c r="B7" s="33" t="s">
        <v>73</v>
      </c>
      <c r="C7" s="54"/>
      <c r="D7" s="19"/>
      <c r="E7" s="19"/>
      <c r="F7" s="19" t="s">
        <v>71</v>
      </c>
      <c r="G7" s="19"/>
      <c r="H7" s="24"/>
      <c r="I7" s="5"/>
      <c r="J7" s="5"/>
    </row>
    <row r="8" spans="2:10" ht="65.25" customHeight="1" thickBot="1" thickTop="1">
      <c r="B8" s="34" t="s">
        <v>57</v>
      </c>
      <c r="C8" s="55"/>
      <c r="D8" s="161" t="s">
        <v>75</v>
      </c>
      <c r="E8" s="35" t="s">
        <v>74</v>
      </c>
      <c r="F8" s="34" t="s">
        <v>7</v>
      </c>
      <c r="G8" s="19"/>
      <c r="H8" s="24"/>
      <c r="I8" s="5"/>
      <c r="J8" s="5"/>
    </row>
    <row r="9" spans="2:10" ht="16.5" thickTop="1">
      <c r="B9" t="str">
        <f>VLOOKUP(C9,'дояры командная и база '!$E$6:$I75,4,FALSE)</f>
        <v>Шемышейский</v>
      </c>
      <c r="C9" s="50">
        <f>LARGE('дояры командная и база '!$E$6:$E$75,1)</f>
        <v>22810</v>
      </c>
      <c r="D9">
        <f>VLOOKUP(C9,'дояры командная и база '!$E$6:$I75,3,FALSE)</f>
        <v>228</v>
      </c>
      <c r="E9" s="13">
        <f>LOOKUP(F9,$H$1:$AU$1,$H$2:$AU$2)</f>
        <v>480</v>
      </c>
      <c r="F9" s="13">
        <v>1</v>
      </c>
      <c r="H9" s="24"/>
      <c r="I9" s="5"/>
      <c r="J9" s="5"/>
    </row>
    <row r="10" spans="2:10" ht="15.75">
      <c r="B10" t="str">
        <f>VLOOKUP(C10,'дояры командная и база '!$E$6:$I76,4,FALSE)</f>
        <v>Пачелмский</v>
      </c>
      <c r="C10" s="50">
        <f>LARGE('дояры командная и база '!$E$6:$E$75,2)</f>
        <v>21010</v>
      </c>
      <c r="D10">
        <f>VLOOKUP(C10,'дояры командная и база '!$E$6:$I76,3,FALSE)</f>
        <v>210</v>
      </c>
      <c r="E10" s="13">
        <f aca="true" t="shared" si="0" ref="E10:E29">LOOKUP(F10,$H$1:$AU$1,$H$2:$AU$2)</f>
        <v>432</v>
      </c>
      <c r="F10" s="13">
        <v>2</v>
      </c>
      <c r="H10" s="24"/>
      <c r="I10" s="5"/>
      <c r="J10" s="5"/>
    </row>
    <row r="11" spans="2:10" ht="15.75">
      <c r="B11" t="str">
        <f>VLOOKUP(C11,'дояры командная и база '!$E$6:$I77,4,FALSE)</f>
        <v>Колышлейский</v>
      </c>
      <c r="C11" s="50">
        <f>LARGE('дояры командная и база '!$E$6:$E$75,3)</f>
        <v>18410</v>
      </c>
      <c r="D11">
        <f>VLOOKUP(C11,'дояры командная и база '!$E$6:$I77,3,FALSE)</f>
        <v>184</v>
      </c>
      <c r="E11" s="13">
        <f t="shared" si="0"/>
        <v>392</v>
      </c>
      <c r="F11" s="13">
        <v>3</v>
      </c>
      <c r="H11" s="24"/>
      <c r="I11" s="5"/>
      <c r="J11" s="5"/>
    </row>
    <row r="12" spans="2:10" ht="15.75">
      <c r="B12" t="str">
        <f>VLOOKUP(C12,'дояры командная и база '!$E$6:$I78,4,FALSE)</f>
        <v>Сердобский</v>
      </c>
      <c r="C12" s="50">
        <f>LARGE('дояры командная и база '!$E$6:$E$75,4)</f>
        <v>18010</v>
      </c>
      <c r="D12">
        <f>VLOOKUP(C12,'дояры командная и база '!$E$6:$I78,3,FALSE)</f>
        <v>180</v>
      </c>
      <c r="E12" s="13">
        <f t="shared" si="0"/>
        <v>360</v>
      </c>
      <c r="F12" s="13">
        <v>4</v>
      </c>
      <c r="H12" s="24"/>
      <c r="I12" s="5"/>
      <c r="J12" s="5"/>
    </row>
    <row r="13" spans="2:10" ht="15.75">
      <c r="B13" t="str">
        <f>VLOOKUP(C13,'дояры командная и база '!$E$6:$I79,4,FALSE)</f>
        <v>Кузнецкий</v>
      </c>
      <c r="C13" s="50">
        <f>LARGE('дояры командная и база '!$E$6:$E$75,5)</f>
        <v>16410</v>
      </c>
      <c r="D13">
        <f>VLOOKUP(C13,'дояры командная и база '!$E$6:$I79,3,FALSE)</f>
        <v>164</v>
      </c>
      <c r="E13" s="13">
        <f t="shared" si="0"/>
        <v>340</v>
      </c>
      <c r="F13" s="13">
        <v>5</v>
      </c>
      <c r="H13" s="24"/>
      <c r="I13" s="5"/>
      <c r="J13" s="5"/>
    </row>
    <row r="14" spans="2:10" ht="15.75">
      <c r="B14" t="str">
        <f>VLOOKUP(C14,'дояры командная и база '!$E$6:$I80,4,FALSE)</f>
        <v>Никольский</v>
      </c>
      <c r="C14" s="50">
        <f>LARGE('дояры командная и база '!$E$6:$E$75,6)</f>
        <v>16210</v>
      </c>
      <c r="D14">
        <f>VLOOKUP(C14,'дояры командная и база '!$E$6:$I80,3,FALSE)</f>
        <v>162</v>
      </c>
      <c r="E14" s="13">
        <f t="shared" si="0"/>
        <v>328</v>
      </c>
      <c r="F14" s="13">
        <v>6</v>
      </c>
      <c r="H14" s="24"/>
      <c r="I14" s="5"/>
      <c r="J14" s="5"/>
    </row>
    <row r="15" spans="2:10" ht="15.75">
      <c r="B15" t="str">
        <f>VLOOKUP(C15,'дояры командная и база '!$E$6:$I81,4,FALSE)</f>
        <v>Мокшанский</v>
      </c>
      <c r="C15" s="50">
        <f>LARGE('дояры командная и база '!$E$6:$E$75,7)</f>
        <v>16110</v>
      </c>
      <c r="D15">
        <f>VLOOKUP(C15,'дояры командная и база '!$E$6:$I81,3,FALSE)</f>
        <v>161</v>
      </c>
      <c r="E15" s="13">
        <f t="shared" si="0"/>
        <v>316</v>
      </c>
      <c r="F15" s="13">
        <v>7</v>
      </c>
      <c r="H15" s="24"/>
      <c r="I15" s="5"/>
      <c r="J15" s="5"/>
    </row>
    <row r="16" spans="2:10" ht="15.75">
      <c r="B16" t="str">
        <f>VLOOKUP(C16,'дояры командная и база '!$E$6:$I82,4,FALSE)</f>
        <v>Бессоновский</v>
      </c>
      <c r="C16" s="50">
        <f>LARGE('дояры командная и база '!$E$6:$E$75,8)</f>
        <v>15410</v>
      </c>
      <c r="D16">
        <f>VLOOKUP(C16,'дояры командная и база '!$E$6:$I82,3,FALSE)</f>
        <v>154</v>
      </c>
      <c r="E16" s="13">
        <f t="shared" si="0"/>
        <v>304</v>
      </c>
      <c r="F16" s="13">
        <v>8</v>
      </c>
      <c r="H16" s="24"/>
      <c r="I16" s="5"/>
      <c r="J16" s="5"/>
    </row>
    <row r="17" spans="2:10" ht="15.75">
      <c r="B17" t="str">
        <f>VLOOKUP(C17,'дояры командная и база '!$E$6:$I83,4,FALSE)</f>
        <v>Белинский</v>
      </c>
      <c r="C17" s="50">
        <f>LARGE('дояры командная и база '!$E$6:$E$75,9)</f>
        <v>14210</v>
      </c>
      <c r="D17">
        <f>VLOOKUP(C17,'дояры командная и база '!$E$6:$I83,3,FALSE)</f>
        <v>142</v>
      </c>
      <c r="E17" s="13">
        <f t="shared" si="0"/>
        <v>296</v>
      </c>
      <c r="F17" s="13">
        <v>9</v>
      </c>
      <c r="H17" s="24"/>
      <c r="I17" s="5"/>
      <c r="J17" s="5"/>
    </row>
    <row r="18" spans="2:10" ht="15.75">
      <c r="B18" t="str">
        <f>VLOOKUP(C18,'дояры командная и база '!$E$6:$I84,4,FALSE)</f>
        <v>Лопатинский</v>
      </c>
      <c r="C18" s="50">
        <f>LARGE('дояры командная и база '!$E$6:$E$75,10)</f>
        <v>14110</v>
      </c>
      <c r="D18">
        <f>VLOOKUP(C18,'дояры командная и база '!$E$6:$I84,3,FALSE)</f>
        <v>141</v>
      </c>
      <c r="E18" s="13">
        <f t="shared" si="0"/>
        <v>288</v>
      </c>
      <c r="F18" s="13">
        <v>10</v>
      </c>
      <c r="H18" s="24"/>
      <c r="I18" s="5"/>
      <c r="J18" s="5"/>
    </row>
    <row r="19" spans="2:10" ht="15.75">
      <c r="B19" t="str">
        <f>VLOOKUP(C19,'дояры командная и база '!$E$6:$I85,4,FALSE)</f>
        <v>Нижнеломовский</v>
      </c>
      <c r="C19" s="50">
        <f>LARGE('дояры командная и база '!$E$6:$E$75,11)</f>
        <v>13510</v>
      </c>
      <c r="D19">
        <f>VLOOKUP(C19,'дояры командная и база '!$E$6:$I85,3,FALSE)</f>
        <v>135</v>
      </c>
      <c r="E19" s="13">
        <f t="shared" si="0"/>
        <v>280</v>
      </c>
      <c r="F19" s="13">
        <v>11</v>
      </c>
      <c r="H19" s="24"/>
      <c r="I19" s="5"/>
      <c r="J19" s="5"/>
    </row>
    <row r="20" spans="2:10" ht="15.75">
      <c r="B20" t="str">
        <f>VLOOKUP(C20,'дояры командная и база '!$E$6:$I86,4,FALSE)</f>
        <v>Малосердобинский</v>
      </c>
      <c r="C20" s="50">
        <f>LARGE('дояры командная и база '!$E$6:$E$75,12)</f>
        <v>12710</v>
      </c>
      <c r="D20">
        <f>VLOOKUP(C20,'дояры командная и база '!$E$6:$I86,3,FALSE)</f>
        <v>127</v>
      </c>
      <c r="E20" s="13">
        <f t="shared" si="0"/>
        <v>276</v>
      </c>
      <c r="F20" s="13">
        <v>12</v>
      </c>
      <c r="H20" s="24"/>
      <c r="I20" s="5"/>
      <c r="J20" s="5"/>
    </row>
    <row r="21" spans="2:10" ht="15.75">
      <c r="B21" t="str">
        <f>VLOOKUP(C21,'дояры командная и база '!$E$6:$I87,4,FALSE)</f>
        <v>Сосновоборский</v>
      </c>
      <c r="C21" s="50">
        <f>LARGE('дояры командная и база '!$E$6:$E$75,13)</f>
        <v>12510</v>
      </c>
      <c r="D21">
        <f>VLOOKUP(C21,'дояры командная и база '!$E$6:$I87,3,FALSE)</f>
        <v>125</v>
      </c>
      <c r="E21" s="13">
        <f t="shared" si="0"/>
        <v>272</v>
      </c>
      <c r="F21" s="13">
        <v>13</v>
      </c>
      <c r="H21" s="24"/>
      <c r="I21" s="5"/>
      <c r="J21" s="5"/>
    </row>
    <row r="22" spans="2:10" ht="15.75">
      <c r="B22" t="str">
        <f>VLOOKUP(C22,'дояры командная и база '!$E$6:$I88,4,FALSE)</f>
        <v>Бековский</v>
      </c>
      <c r="C22" s="50">
        <f>LARGE('дояры командная и база '!$E$6:$E$75,14)</f>
        <v>12410</v>
      </c>
      <c r="D22">
        <f>VLOOKUP(C22,'дояры командная и база '!$E$6:$I88,3,FALSE)</f>
        <v>124</v>
      </c>
      <c r="E22" s="13">
        <f t="shared" si="0"/>
        <v>268</v>
      </c>
      <c r="F22" s="13">
        <v>14</v>
      </c>
      <c r="H22" s="24"/>
      <c r="I22" s="5"/>
      <c r="J22" s="5"/>
    </row>
    <row r="23" spans="2:10" ht="15.75">
      <c r="B23" t="str">
        <f>VLOOKUP(C23,'дояры командная и база '!$E$6:$I89,4,FALSE)</f>
        <v>Камешкирский</v>
      </c>
      <c r="C23" s="50">
        <f>LARGE('дояры командная и база '!$E$6:$E$75,15)</f>
        <v>12310</v>
      </c>
      <c r="D23">
        <f>VLOOKUP(C23,'дояры командная и база '!$E$6:$I89,3,FALSE)</f>
        <v>123</v>
      </c>
      <c r="E23" s="13">
        <f t="shared" si="0"/>
        <v>264</v>
      </c>
      <c r="F23" s="13">
        <v>15</v>
      </c>
      <c r="H23" s="24"/>
      <c r="I23" s="5"/>
      <c r="J23" s="5"/>
    </row>
    <row r="24" spans="2:10" ht="15.75">
      <c r="B24" t="str">
        <f>VLOOKUP(C24,'дояры командная и база '!$E$6:$I90,4,FALSE)</f>
        <v>Неверкинский</v>
      </c>
      <c r="C24" s="50">
        <f>LARGE('дояры командная и база '!$E$6:$E$75,16)</f>
        <v>12020</v>
      </c>
      <c r="D24">
        <f>VLOOKUP(C24,'дояры командная и база '!$E$6:$I90,3,FALSE)</f>
        <v>120</v>
      </c>
      <c r="E24" s="13">
        <f t="shared" si="0"/>
        <v>260</v>
      </c>
      <c r="F24" s="13">
        <v>16</v>
      </c>
      <c r="H24" s="24"/>
      <c r="I24" s="5"/>
      <c r="J24" s="5"/>
    </row>
    <row r="25" spans="2:10" ht="15.75">
      <c r="B25" t="str">
        <f>VLOOKUP(C25,'дояры командная и база '!$E$6:$I91,4,FALSE)</f>
        <v>Каменский</v>
      </c>
      <c r="C25" s="50">
        <f>LARGE('дояры командная и база '!$E$6:$E$75,17)</f>
        <v>12010</v>
      </c>
      <c r="D25">
        <f>VLOOKUP(C25,'дояры командная и база '!$E$6:$I91,3,FALSE)</f>
        <v>120</v>
      </c>
      <c r="E25" s="13">
        <f t="shared" si="0"/>
        <v>256</v>
      </c>
      <c r="F25" s="13">
        <v>17</v>
      </c>
      <c r="H25" s="24"/>
      <c r="I25" s="5"/>
      <c r="J25" s="5"/>
    </row>
    <row r="26" spans="2:10" ht="15.75">
      <c r="B26" t="str">
        <f>VLOOKUP(C26,'дояры командная и база '!$E$6:$I92,4,FALSE)</f>
        <v>Башмаковский</v>
      </c>
      <c r="C26" s="50">
        <f>LARGE('дояры командная и база '!$E$6:$E$75,18)</f>
        <v>11910</v>
      </c>
      <c r="D26">
        <f>VLOOKUP(C26,'дояры командная и база '!$E$6:$I92,3,FALSE)</f>
        <v>119</v>
      </c>
      <c r="E26" s="13">
        <f t="shared" si="0"/>
        <v>252</v>
      </c>
      <c r="F26" s="13">
        <v>18</v>
      </c>
      <c r="H26" s="24"/>
      <c r="I26" s="5"/>
      <c r="J26" s="5"/>
    </row>
    <row r="27" spans="2:10" ht="15.75">
      <c r="B27" t="str">
        <f>VLOOKUP(C27,'дояры командная и база '!$E$6:$I93,4,FALSE)</f>
        <v>Наровчатский</v>
      </c>
      <c r="C27" s="50">
        <f>LARGE('дояры командная и база '!$E$6:$E$75,19)</f>
        <v>11610</v>
      </c>
      <c r="D27">
        <f>VLOOKUP(C27,'дояры командная и база '!$E$6:$I93,3,FALSE)</f>
        <v>116</v>
      </c>
      <c r="E27" s="13">
        <f t="shared" si="0"/>
        <v>248</v>
      </c>
      <c r="F27" s="13">
        <v>19</v>
      </c>
      <c r="H27" s="24"/>
      <c r="I27" s="5"/>
      <c r="J27" s="5"/>
    </row>
    <row r="28" spans="2:10" ht="15.75">
      <c r="B28" t="str">
        <f>VLOOKUP(C28,'дояры командная и база '!$E$6:$I94,4,FALSE)</f>
        <v>Городищенский</v>
      </c>
      <c r="C28" s="50">
        <f>LARGE('дояры командная и база '!$E$6:$E$75,20)</f>
        <v>10810</v>
      </c>
      <c r="D28">
        <f>VLOOKUP(C28,'дояры командная и база '!$E$6:$I94,3,FALSE)</f>
        <v>108</v>
      </c>
      <c r="E28" s="13">
        <f t="shared" si="0"/>
        <v>244</v>
      </c>
      <c r="F28" s="13">
        <v>20</v>
      </c>
      <c r="H28" s="24"/>
      <c r="I28" s="5"/>
      <c r="J28" s="5"/>
    </row>
    <row r="29" spans="2:10" ht="15.75">
      <c r="B29" t="str">
        <f>VLOOKUP(C29,'дояры командная и база '!$E$6:$I95,4,FALSE)</f>
        <v>Спасский</v>
      </c>
      <c r="C29" s="50">
        <f>LARGE('дояры командная и база '!$E$6:$E$75,21)</f>
        <v>10210</v>
      </c>
      <c r="D29">
        <f>VLOOKUP(C29,'дояры командная и база '!$E$6:$I95,3,FALSE)</f>
        <v>102</v>
      </c>
      <c r="E29" s="13">
        <f t="shared" si="0"/>
        <v>236</v>
      </c>
      <c r="F29" s="13">
        <v>22</v>
      </c>
      <c r="H29" s="24"/>
      <c r="I29" s="5"/>
      <c r="J29" s="5"/>
    </row>
    <row r="30" spans="2:10" ht="15.75">
      <c r="B30" t="str">
        <f>VLOOKUP(C30,'дояры командная и база '!$E$6:$I96,4,FALSE)</f>
        <v>Лунинский</v>
      </c>
      <c r="C30" s="50">
        <f>LARGE('дояры командная и база '!$E$6:$E$75,22)</f>
        <v>7410</v>
      </c>
      <c r="D30">
        <f>VLOOKUP(C30,'дояры командная и база '!$E$6:$I96,3,FALSE)</f>
        <v>74</v>
      </c>
      <c r="E30" s="13">
        <f>LOOKUP(F30,$H$1:$AU$1,$H$2:$AU$2)</f>
        <v>232</v>
      </c>
      <c r="F30" s="13">
        <v>23</v>
      </c>
      <c r="H30" s="24"/>
      <c r="I30" s="5"/>
      <c r="J30" s="5"/>
    </row>
    <row r="31" spans="2:10" ht="15.75">
      <c r="B31" t="str">
        <f>VLOOKUP(C31,'дояры командная и база '!$E$6:$I97,4,FALSE)</f>
        <v>Земетчинский</v>
      </c>
      <c r="C31" s="50">
        <f>LARGE('дояры командная и база '!$E$6:$E$75,23)</f>
        <v>7010</v>
      </c>
      <c r="D31">
        <f>VLOOKUP(C31,'дояры командная и база '!$E$6:$I97,3,FALSE)</f>
        <v>70</v>
      </c>
      <c r="E31" s="13">
        <f>LOOKUP(F31,$H$1:$AU$1,$H$2:$AU$2)</f>
        <v>228</v>
      </c>
      <c r="F31" s="13">
        <v>24</v>
      </c>
      <c r="H31" s="24"/>
      <c r="I31" s="5"/>
      <c r="J31" s="5"/>
    </row>
    <row r="32" spans="4:10" ht="15.75">
      <c r="D32"/>
      <c r="E32" s="13"/>
      <c r="F32" s="13"/>
      <c r="H32" s="24"/>
      <c r="I32" s="5"/>
      <c r="J32" s="5"/>
    </row>
    <row r="33" spans="4:10" ht="15.75">
      <c r="D33"/>
      <c r="E33" s="13"/>
      <c r="F33" s="13"/>
      <c r="H33" s="24"/>
      <c r="I33" s="5"/>
      <c r="J33" s="5"/>
    </row>
    <row r="34" spans="4:10" ht="15.75">
      <c r="D34"/>
      <c r="E34" s="13"/>
      <c r="F34" s="13"/>
      <c r="H34" s="24"/>
      <c r="I34" s="5"/>
      <c r="J34" s="5"/>
    </row>
    <row r="35" spans="6:10" ht="15.75">
      <c r="F35" s="13"/>
      <c r="H35" s="24"/>
      <c r="I35" s="5"/>
      <c r="J35" s="5"/>
    </row>
    <row r="36" spans="6:10" ht="15.75">
      <c r="F36" s="13"/>
      <c r="H36" s="24"/>
      <c r="I36" s="5"/>
      <c r="J36" s="5"/>
    </row>
    <row r="37" spans="6:10" ht="15.75">
      <c r="F37" s="13"/>
      <c r="H37" s="24"/>
      <c r="I37" s="5"/>
      <c r="J37" s="5"/>
    </row>
    <row r="38" spans="8:10" ht="15.75">
      <c r="H38" s="24"/>
      <c r="I38" s="5"/>
      <c r="J38" s="5"/>
    </row>
    <row r="39" spans="8:10" ht="15.75">
      <c r="H39" s="24"/>
      <c r="I39" s="5"/>
      <c r="J39" s="5"/>
    </row>
    <row r="40" spans="8:10" ht="15.75">
      <c r="H40" s="24"/>
      <c r="I40" s="5"/>
      <c r="J40" s="5"/>
    </row>
  </sheetData>
  <sheetProtection/>
  <mergeCells count="3">
    <mergeCell ref="B1:F1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4"/>
  <sheetViews>
    <sheetView view="pageBreakPreview" zoomScaleSheetLayoutView="100" workbookViewId="0" topLeftCell="C1">
      <selection activeCell="D1" sqref="D1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21.57421875" style="0" customWidth="1"/>
    <col min="4" max="4" width="9.57421875" style="36" customWidth="1"/>
    <col min="5" max="5" width="8.00390625" style="0" customWidth="1"/>
    <col min="6" max="6" width="8.28125" style="0" customWidth="1"/>
    <col min="7" max="7" width="8.421875" style="36" customWidth="1"/>
    <col min="8" max="8" width="9.57421875" style="0" customWidth="1"/>
    <col min="9" max="9" width="9.421875" style="0" customWidth="1"/>
    <col min="10" max="10" width="10.57421875" style="36" customWidth="1"/>
    <col min="11" max="11" width="9.8515625" style="0" customWidth="1"/>
    <col min="12" max="12" width="11.140625" style="0" customWidth="1"/>
    <col min="14" max="14" width="9.00390625" style="23" customWidth="1"/>
    <col min="15" max="15" width="10.28125" style="0" customWidth="1"/>
    <col min="16" max="95" width="5.140625" style="0" customWidth="1"/>
  </cols>
  <sheetData>
    <row r="1" spans="4:11" ht="30.75" customHeight="1">
      <c r="D1" s="8"/>
      <c r="E1" s="8"/>
      <c r="F1" s="8"/>
      <c r="G1" s="8"/>
      <c r="H1" s="8"/>
      <c r="I1" s="8"/>
      <c r="J1" s="8"/>
      <c r="K1" s="8"/>
    </row>
    <row r="2" spans="2:14" ht="16.5" thickBot="1">
      <c r="B2" s="331" t="s">
        <v>70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95" ht="16.5" customHeight="1" thickBot="1">
      <c r="A3" s="104" t="s">
        <v>91</v>
      </c>
      <c r="B3" s="105" t="s">
        <v>2</v>
      </c>
      <c r="C3" s="106" t="s">
        <v>0</v>
      </c>
      <c r="D3" s="330" t="s">
        <v>89</v>
      </c>
      <c r="E3" s="330"/>
      <c r="F3" s="330"/>
      <c r="G3" s="332" t="s">
        <v>36</v>
      </c>
      <c r="H3" s="332"/>
      <c r="I3" s="332"/>
      <c r="J3" s="333" t="s">
        <v>37</v>
      </c>
      <c r="K3" s="333"/>
      <c r="L3" s="333"/>
      <c r="M3" s="107"/>
      <c r="N3" s="108"/>
      <c r="O3" s="329" t="s">
        <v>100</v>
      </c>
      <c r="P3" s="28">
        <v>1</v>
      </c>
      <c r="Q3" s="28">
        <v>2</v>
      </c>
      <c r="R3" s="28">
        <v>3</v>
      </c>
      <c r="S3" s="28">
        <v>4</v>
      </c>
      <c r="T3" s="28">
        <v>5</v>
      </c>
      <c r="U3" s="28">
        <v>6</v>
      </c>
      <c r="V3" s="28">
        <v>7</v>
      </c>
      <c r="W3" s="28">
        <v>8</v>
      </c>
      <c r="X3" s="28">
        <v>9</v>
      </c>
      <c r="Y3" s="28">
        <v>10</v>
      </c>
      <c r="Z3" s="28">
        <v>11</v>
      </c>
      <c r="AA3" s="28">
        <v>12</v>
      </c>
      <c r="AB3" s="28">
        <v>13</v>
      </c>
      <c r="AC3" s="28">
        <v>14</v>
      </c>
      <c r="AD3" s="28">
        <v>15</v>
      </c>
      <c r="AE3" s="28">
        <v>16</v>
      </c>
      <c r="AF3" s="28">
        <v>17</v>
      </c>
      <c r="AG3" s="28">
        <v>18</v>
      </c>
      <c r="AH3" s="28">
        <v>19</v>
      </c>
      <c r="AI3" s="28">
        <v>20</v>
      </c>
      <c r="AJ3" s="28">
        <v>21</v>
      </c>
      <c r="AK3" s="28">
        <v>22</v>
      </c>
      <c r="AL3" s="28">
        <v>23</v>
      </c>
      <c r="AM3" s="28">
        <v>24</v>
      </c>
      <c r="AN3" s="28">
        <v>25</v>
      </c>
      <c r="AO3" s="28">
        <v>26</v>
      </c>
      <c r="AP3" s="28">
        <v>27</v>
      </c>
      <c r="AQ3" s="28">
        <v>28</v>
      </c>
      <c r="AR3" s="28">
        <v>29</v>
      </c>
      <c r="AS3" s="28">
        <v>30</v>
      </c>
      <c r="AT3" s="28">
        <v>31</v>
      </c>
      <c r="AU3" s="28">
        <v>32</v>
      </c>
      <c r="AV3" s="28">
        <v>33</v>
      </c>
      <c r="AW3" s="28">
        <v>34</v>
      </c>
      <c r="AX3" s="28">
        <v>35</v>
      </c>
      <c r="AY3" s="28">
        <v>36</v>
      </c>
      <c r="AZ3" s="28">
        <v>37</v>
      </c>
      <c r="BA3" s="28">
        <v>38</v>
      </c>
      <c r="BB3" s="28">
        <v>39</v>
      </c>
      <c r="BC3" s="28">
        <v>40</v>
      </c>
      <c r="BD3" s="28">
        <v>41</v>
      </c>
      <c r="BE3" s="28">
        <v>42</v>
      </c>
      <c r="BF3" s="28">
        <v>43</v>
      </c>
      <c r="BG3" s="28">
        <v>44</v>
      </c>
      <c r="BH3" s="28">
        <v>45</v>
      </c>
      <c r="BI3" s="28">
        <v>46</v>
      </c>
      <c r="BJ3" s="28">
        <v>47</v>
      </c>
      <c r="BK3" s="28">
        <v>48</v>
      </c>
      <c r="BL3" s="28">
        <v>49</v>
      </c>
      <c r="BM3" s="28">
        <v>50</v>
      </c>
      <c r="BN3" s="28">
        <v>51</v>
      </c>
      <c r="BO3" s="28">
        <v>52</v>
      </c>
      <c r="BP3" s="28">
        <v>53</v>
      </c>
      <c r="BQ3" s="28">
        <v>54</v>
      </c>
      <c r="BR3" s="28">
        <v>55</v>
      </c>
      <c r="BS3" s="28">
        <v>56</v>
      </c>
      <c r="BT3" s="28">
        <v>57</v>
      </c>
      <c r="BU3" s="28">
        <v>58</v>
      </c>
      <c r="BV3" s="28">
        <v>59</v>
      </c>
      <c r="BW3" s="28">
        <v>60</v>
      </c>
      <c r="BX3" s="28">
        <v>61</v>
      </c>
      <c r="BY3" s="28">
        <v>62</v>
      </c>
      <c r="BZ3" s="28">
        <v>63</v>
      </c>
      <c r="CA3" s="28">
        <v>64</v>
      </c>
      <c r="CB3" s="28">
        <v>65</v>
      </c>
      <c r="CC3" s="28">
        <v>66</v>
      </c>
      <c r="CD3" s="28">
        <v>67</v>
      </c>
      <c r="CE3" s="28">
        <v>68</v>
      </c>
      <c r="CF3" s="28">
        <v>69</v>
      </c>
      <c r="CG3" s="28">
        <v>70</v>
      </c>
      <c r="CH3" s="28">
        <v>71</v>
      </c>
      <c r="CI3" s="28">
        <v>72</v>
      </c>
      <c r="CJ3" s="28">
        <v>73</v>
      </c>
      <c r="CK3" s="28">
        <v>74</v>
      </c>
      <c r="CL3" s="28">
        <v>75</v>
      </c>
      <c r="CM3" s="28">
        <v>76</v>
      </c>
      <c r="CN3" s="28">
        <v>77</v>
      </c>
      <c r="CO3" s="28">
        <v>78</v>
      </c>
      <c r="CP3" s="28">
        <v>79</v>
      </c>
      <c r="CQ3" s="28">
        <v>80</v>
      </c>
    </row>
    <row r="4" spans="1:95" ht="19.5" thickBot="1">
      <c r="A4" s="109"/>
      <c r="B4" s="91"/>
      <c r="C4" s="110"/>
      <c r="D4" s="111" t="s">
        <v>13</v>
      </c>
      <c r="E4" s="112" t="s">
        <v>14</v>
      </c>
      <c r="F4" s="112" t="s">
        <v>1</v>
      </c>
      <c r="G4" s="111" t="s">
        <v>13</v>
      </c>
      <c r="H4" s="112" t="s">
        <v>14</v>
      </c>
      <c r="I4" s="112" t="s">
        <v>1</v>
      </c>
      <c r="J4" s="111" t="s">
        <v>13</v>
      </c>
      <c r="K4" s="112" t="s">
        <v>14</v>
      </c>
      <c r="L4" s="113" t="s">
        <v>1</v>
      </c>
      <c r="M4" s="114"/>
      <c r="N4" s="115" t="s">
        <v>14</v>
      </c>
      <c r="O4" s="329"/>
      <c r="P4" s="28">
        <v>120</v>
      </c>
      <c r="Q4" s="28">
        <v>108</v>
      </c>
      <c r="R4" s="28">
        <v>98</v>
      </c>
      <c r="S4" s="28">
        <v>90</v>
      </c>
      <c r="T4" s="28">
        <v>85</v>
      </c>
      <c r="U4" s="28">
        <v>82</v>
      </c>
      <c r="V4" s="28">
        <v>79</v>
      </c>
      <c r="W4" s="28">
        <v>76</v>
      </c>
      <c r="X4" s="28">
        <v>74</v>
      </c>
      <c r="Y4" s="28">
        <v>72</v>
      </c>
      <c r="Z4" s="28">
        <v>70</v>
      </c>
      <c r="AA4" s="28">
        <v>69</v>
      </c>
      <c r="AB4" s="28">
        <v>68</v>
      </c>
      <c r="AC4" s="28">
        <v>67</v>
      </c>
      <c r="AD4" s="28">
        <v>66</v>
      </c>
      <c r="AE4" s="28">
        <v>65</v>
      </c>
      <c r="AF4" s="28">
        <v>64</v>
      </c>
      <c r="AG4" s="28">
        <v>63</v>
      </c>
      <c r="AH4" s="28">
        <v>62</v>
      </c>
      <c r="AI4" s="28">
        <v>61</v>
      </c>
      <c r="AJ4" s="28">
        <v>60</v>
      </c>
      <c r="AK4" s="28">
        <v>59</v>
      </c>
      <c r="AL4" s="28">
        <v>58</v>
      </c>
      <c r="AM4" s="28">
        <v>57</v>
      </c>
      <c r="AN4" s="28">
        <v>56</v>
      </c>
      <c r="AO4" s="28">
        <v>55</v>
      </c>
      <c r="AP4" s="28">
        <v>54</v>
      </c>
      <c r="AQ4" s="28">
        <v>53</v>
      </c>
      <c r="AR4" s="28">
        <v>52</v>
      </c>
      <c r="AS4" s="28">
        <v>51</v>
      </c>
      <c r="AT4" s="28">
        <v>50</v>
      </c>
      <c r="AU4" s="28">
        <v>49</v>
      </c>
      <c r="AV4" s="28">
        <v>48</v>
      </c>
      <c r="AW4" s="28">
        <v>47</v>
      </c>
      <c r="AX4" s="28">
        <v>46</v>
      </c>
      <c r="AY4" s="28">
        <v>45</v>
      </c>
      <c r="AZ4" s="28">
        <v>44</v>
      </c>
      <c r="BA4" s="28">
        <v>43</v>
      </c>
      <c r="BB4" s="28">
        <v>42</v>
      </c>
      <c r="BC4" s="28">
        <v>41</v>
      </c>
      <c r="BD4" s="28">
        <v>40</v>
      </c>
      <c r="BE4" s="28">
        <v>39</v>
      </c>
      <c r="BF4" s="28">
        <v>38</v>
      </c>
      <c r="BG4" s="28">
        <v>37</v>
      </c>
      <c r="BH4" s="28">
        <v>36</v>
      </c>
      <c r="BI4" s="28">
        <v>35</v>
      </c>
      <c r="BJ4" s="28">
        <v>34</v>
      </c>
      <c r="BK4" s="28">
        <v>33</v>
      </c>
      <c r="BL4" s="28">
        <v>32</v>
      </c>
      <c r="BM4" s="28">
        <v>31</v>
      </c>
      <c r="BN4" s="28">
        <v>30</v>
      </c>
      <c r="BO4" s="28">
        <v>29</v>
      </c>
      <c r="BP4" s="28">
        <v>28</v>
      </c>
      <c r="BQ4" s="28">
        <v>27</v>
      </c>
      <c r="BR4" s="28">
        <v>26</v>
      </c>
      <c r="BS4" s="28">
        <v>25</v>
      </c>
      <c r="BT4" s="28">
        <v>24</v>
      </c>
      <c r="BU4" s="28">
        <v>23</v>
      </c>
      <c r="BV4" s="28">
        <v>22</v>
      </c>
      <c r="BW4" s="28">
        <v>21</v>
      </c>
      <c r="BX4" s="28">
        <v>20</v>
      </c>
      <c r="BY4" s="28">
        <v>19</v>
      </c>
      <c r="BZ4" s="28">
        <v>18</v>
      </c>
      <c r="CA4" s="28">
        <v>17</v>
      </c>
      <c r="CB4" s="28">
        <v>16</v>
      </c>
      <c r="CC4" s="28">
        <v>15</v>
      </c>
      <c r="CD4" s="28">
        <v>14</v>
      </c>
      <c r="CE4" s="28">
        <v>13</v>
      </c>
      <c r="CF4" s="28">
        <v>12</v>
      </c>
      <c r="CG4" s="28">
        <v>11</v>
      </c>
      <c r="CH4" s="28">
        <v>10</v>
      </c>
      <c r="CI4" s="28">
        <v>9</v>
      </c>
      <c r="CJ4" s="28">
        <v>8</v>
      </c>
      <c r="CK4" s="28">
        <v>7</v>
      </c>
      <c r="CL4" s="28">
        <v>6</v>
      </c>
      <c r="CM4" s="28">
        <v>5</v>
      </c>
      <c r="CN4" s="28">
        <v>4</v>
      </c>
      <c r="CO4" s="28">
        <v>3</v>
      </c>
      <c r="CP4" s="28">
        <v>2</v>
      </c>
      <c r="CQ4" s="28">
        <v>1</v>
      </c>
    </row>
    <row r="5" spans="1:95" ht="18.75">
      <c r="A5" s="16"/>
      <c r="B5" s="77" t="s">
        <v>8</v>
      </c>
      <c r="C5" s="118"/>
      <c r="D5" s="119"/>
      <c r="E5" s="117"/>
      <c r="F5" s="117"/>
      <c r="G5" s="119"/>
      <c r="H5" s="117"/>
      <c r="I5" s="117"/>
      <c r="J5" s="119"/>
      <c r="K5" s="117"/>
      <c r="L5" s="120"/>
      <c r="M5" s="121"/>
      <c r="N5" s="122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</row>
    <row r="6" spans="1:16" ht="18.75">
      <c r="A6" s="15" t="s">
        <v>399</v>
      </c>
      <c r="B6" s="14" t="str">
        <f>VLOOKUP(A6,'дояры командная и база '!$A$4:$C98,2,FALSE)</f>
        <v>Струев Владимир</v>
      </c>
      <c r="C6" s="14" t="str">
        <f>VLOOKUP(A6,'дояры командная и база '!$A$4:$C98,3,FALSE)</f>
        <v>Пачелмский</v>
      </c>
      <c r="D6" s="76"/>
      <c r="E6" s="47">
        <f>VLOOKUP(A6,'мужчины дояры мех лыжи'!$A$7:$I$77,8,FALSE)</f>
        <v>11</v>
      </c>
      <c r="F6" s="203">
        <f>VLOOKUP(A6,'мужчины дояры мех лыжи'!$A$7:$I$77,9,FALSE)</f>
        <v>70</v>
      </c>
      <c r="G6" s="74"/>
      <c r="H6" s="47">
        <v>9</v>
      </c>
      <c r="I6" s="82">
        <f aca="true" t="shared" si="0" ref="I6:I30">LOOKUP(H6,$P$3:$CQ$3,$P$4:$CQ$4)</f>
        <v>74</v>
      </c>
      <c r="J6" s="74"/>
      <c r="K6" s="75">
        <v>1</v>
      </c>
      <c r="L6" s="82">
        <f aca="true" t="shared" si="1" ref="L6:L33">LOOKUP(K6,$P$3:$CQ$3,$P$4:$CQ$4)*2</f>
        <v>240</v>
      </c>
      <c r="M6" s="103">
        <f aca="true" t="shared" si="2" ref="M6:M38">L6+I6+F6</f>
        <v>384</v>
      </c>
      <c r="N6" s="30">
        <v>1</v>
      </c>
      <c r="O6" s="1">
        <f>LOOKUP(N6,$P$3:$CQ$3,$P$4:$CQ$4)</f>
        <v>120</v>
      </c>
      <c r="P6" s="84"/>
    </row>
    <row r="7" spans="1:16" ht="18.75">
      <c r="A7" s="15">
        <v>191</v>
      </c>
      <c r="B7" s="14" t="str">
        <f>VLOOKUP(A7,'дояры командная и база '!$A$4:$C92,2,FALSE)</f>
        <v>Заботин Владимир</v>
      </c>
      <c r="C7" s="14" t="str">
        <f>VLOOKUP(A7,'дояры командная и база '!$A$4:$C92,3,FALSE)</f>
        <v>Колышлейский</v>
      </c>
      <c r="D7" s="76"/>
      <c r="E7" s="47">
        <f>VLOOKUP(A7,'мужчины дояры мех лыжи'!$A$7:$I$77,8,FALSE)</f>
        <v>3</v>
      </c>
      <c r="F7" s="203">
        <f>VLOOKUP(A7,'мужчины дояры мех лыжи'!$A$7:$I$77,9,FALSE)</f>
        <v>98</v>
      </c>
      <c r="G7" s="74"/>
      <c r="H7" s="47">
        <v>18</v>
      </c>
      <c r="I7" s="82">
        <f t="shared" si="0"/>
        <v>63</v>
      </c>
      <c r="J7" s="74"/>
      <c r="K7" s="75">
        <v>3</v>
      </c>
      <c r="L7" s="82">
        <f t="shared" si="1"/>
        <v>196</v>
      </c>
      <c r="M7" s="103">
        <f t="shared" si="2"/>
        <v>357</v>
      </c>
      <c r="N7" s="30">
        <v>2</v>
      </c>
      <c r="O7" s="1">
        <f aca="true" t="shared" si="3" ref="O7:O17">LOOKUP(N7,$P$3:$CQ$3,$P$4:$CQ$4)</f>
        <v>108</v>
      </c>
      <c r="P7" s="84"/>
    </row>
    <row r="8" spans="1:16" ht="18.75">
      <c r="A8" s="15" t="s">
        <v>397</v>
      </c>
      <c r="B8" s="14" t="str">
        <f>VLOOKUP(A8,'дояры командная и база '!$A$4:$C82,2,FALSE)</f>
        <v>Шатлов А</v>
      </c>
      <c r="C8" s="14" t="str">
        <f>VLOOKUP(A8,'дояры командная и база '!$A$4:$C82,3,FALSE)</f>
        <v>Никольский</v>
      </c>
      <c r="D8" s="76"/>
      <c r="E8" s="47">
        <f>VLOOKUP(A8,'мужчины дояры мех лыжи'!$A$7:$I$77,8,FALSE)</f>
        <v>22</v>
      </c>
      <c r="F8" s="47">
        <f>VLOOKUP(A8,'мужчины дояры мех лыжи'!$A$7:$I$77,9,FALSE)</f>
        <v>59</v>
      </c>
      <c r="G8" s="74"/>
      <c r="H8" s="47">
        <v>11</v>
      </c>
      <c r="I8" s="82">
        <f t="shared" si="0"/>
        <v>70</v>
      </c>
      <c r="J8" s="74"/>
      <c r="K8" s="75">
        <v>2</v>
      </c>
      <c r="L8" s="82">
        <f t="shared" si="1"/>
        <v>216</v>
      </c>
      <c r="M8" s="103">
        <f t="shared" si="2"/>
        <v>345</v>
      </c>
      <c r="N8" s="30">
        <v>3</v>
      </c>
      <c r="O8" s="1">
        <f t="shared" si="3"/>
        <v>98</v>
      </c>
      <c r="P8" s="84"/>
    </row>
    <row r="9" spans="1:16" ht="18.75">
      <c r="A9" s="15" t="s">
        <v>398</v>
      </c>
      <c r="B9" s="14" t="str">
        <f>VLOOKUP(A9,'дояры командная и база '!$A$4:$C97,2,FALSE)</f>
        <v>Суздальцев Вячеслав</v>
      </c>
      <c r="C9" s="14" t="str">
        <f>VLOOKUP(A9,'дояры командная и база '!$A$4:$C97,3,FALSE)</f>
        <v>Пачелмский</v>
      </c>
      <c r="D9" s="76"/>
      <c r="E9" s="47">
        <f>VLOOKUP(A9,'мужчины дояры мех лыжи'!$A$7:$I$77,8,FALSE)</f>
        <v>9</v>
      </c>
      <c r="F9" s="203">
        <f>VLOOKUP(A9,'мужчины дояры мех лыжи'!$A$7:$I$77,9,FALSE)</f>
        <v>74</v>
      </c>
      <c r="G9" s="74"/>
      <c r="H9" s="47">
        <v>1</v>
      </c>
      <c r="I9" s="82">
        <f t="shared" si="0"/>
        <v>120</v>
      </c>
      <c r="J9" s="74"/>
      <c r="K9" s="75">
        <v>14</v>
      </c>
      <c r="L9" s="82">
        <f t="shared" si="1"/>
        <v>134</v>
      </c>
      <c r="M9" s="103">
        <f t="shared" si="2"/>
        <v>328</v>
      </c>
      <c r="N9" s="30">
        <v>4</v>
      </c>
      <c r="O9" s="1">
        <f t="shared" si="3"/>
        <v>90</v>
      </c>
      <c r="P9" s="84"/>
    </row>
    <row r="10" spans="1:16" ht="18.75">
      <c r="A10" s="15">
        <v>39</v>
      </c>
      <c r="B10" s="14" t="str">
        <f>VLOOKUP(A10,'дояры командная и база '!$A$4:$C72,2,FALSE)</f>
        <v>Жирнов Антон</v>
      </c>
      <c r="C10" s="14" t="str">
        <f>VLOOKUP(A10,'дояры командная и база '!$A$4:$C72,3,FALSE)</f>
        <v>Кузнецкий</v>
      </c>
      <c r="D10" s="76"/>
      <c r="E10" s="47">
        <f>VLOOKUP(A10,'мужчины дояры мех лыжи'!$A$7:$I$77,8,FALSE)</f>
        <v>7</v>
      </c>
      <c r="F10" s="47">
        <f>VLOOKUP(A10,'мужчины дояры мех лыжи'!$A$7:$I$77,9,FALSE)</f>
        <v>79</v>
      </c>
      <c r="G10" s="74"/>
      <c r="H10" s="47">
        <v>8</v>
      </c>
      <c r="I10" s="82">
        <f t="shared" si="0"/>
        <v>76</v>
      </c>
      <c r="J10" s="74"/>
      <c r="K10" s="75">
        <v>6</v>
      </c>
      <c r="L10" s="82">
        <f t="shared" si="1"/>
        <v>164</v>
      </c>
      <c r="M10" s="103">
        <f t="shared" si="2"/>
        <v>319</v>
      </c>
      <c r="N10" s="30">
        <v>5</v>
      </c>
      <c r="O10" s="1">
        <f t="shared" si="3"/>
        <v>85</v>
      </c>
      <c r="P10" s="84"/>
    </row>
    <row r="11" spans="1:16" ht="18.75">
      <c r="A11" s="15">
        <v>20</v>
      </c>
      <c r="B11" s="14" t="str">
        <f>VLOOKUP(A11,'дояры командная и база '!$A$4:$C68,2,FALSE)</f>
        <v>Карпов Евгений</v>
      </c>
      <c r="C11" s="14" t="str">
        <f>VLOOKUP(A11,'дояры командная и база '!$A$4:$C68,3,FALSE)</f>
        <v>Сердобский</v>
      </c>
      <c r="D11" s="76"/>
      <c r="E11" s="47">
        <f>VLOOKUP(A11,'мужчины дояры мех лыжи'!$A$7:$I$77,8,FALSE)</f>
        <v>2</v>
      </c>
      <c r="F11" s="47">
        <f>VLOOKUP(A11,'мужчины дояры мех лыжи'!$A$7:$I$77,9,FALSE)</f>
        <v>108</v>
      </c>
      <c r="G11" s="74"/>
      <c r="H11" s="47">
        <v>11</v>
      </c>
      <c r="I11" s="82">
        <f t="shared" si="0"/>
        <v>70</v>
      </c>
      <c r="J11" s="74"/>
      <c r="K11" s="75">
        <v>12</v>
      </c>
      <c r="L11" s="82">
        <f t="shared" si="1"/>
        <v>138</v>
      </c>
      <c r="M11" s="103">
        <f t="shared" si="2"/>
        <v>316</v>
      </c>
      <c r="N11" s="30">
        <v>6</v>
      </c>
      <c r="O11" s="1">
        <f t="shared" si="3"/>
        <v>82</v>
      </c>
      <c r="P11" s="84"/>
    </row>
    <row r="12" spans="1:16" ht="18.75">
      <c r="A12" s="15">
        <v>36</v>
      </c>
      <c r="B12" s="14" t="str">
        <f>VLOOKUP(A12,'дояры командная и база '!$A$4:$C71,2,FALSE)</f>
        <v>Исянов Руслан</v>
      </c>
      <c r="C12" s="14" t="str">
        <f>VLOOKUP(A12,'дояры командная и база '!$A$4:$C71,3,FALSE)</f>
        <v>Кузнецкий</v>
      </c>
      <c r="D12" s="76"/>
      <c r="E12" s="47">
        <f>VLOOKUP(A12,'мужчины дояры мех лыжи'!$A$7:$I$77,8,FALSE)</f>
        <v>1</v>
      </c>
      <c r="F12" s="47">
        <f>VLOOKUP(A12,'мужчины дояры мех лыжи'!$A$7:$I$77,9,FALSE)</f>
        <v>120</v>
      </c>
      <c r="G12" s="74"/>
      <c r="H12" s="47">
        <v>14</v>
      </c>
      <c r="I12" s="82">
        <f t="shared" si="0"/>
        <v>67</v>
      </c>
      <c r="J12" s="74"/>
      <c r="K12" s="75">
        <v>18</v>
      </c>
      <c r="L12" s="82">
        <f t="shared" si="1"/>
        <v>126</v>
      </c>
      <c r="M12" s="103">
        <f t="shared" si="2"/>
        <v>313</v>
      </c>
      <c r="N12" s="30">
        <v>7</v>
      </c>
      <c r="O12" s="1">
        <f t="shared" si="3"/>
        <v>79</v>
      </c>
      <c r="P12" s="84"/>
    </row>
    <row r="13" spans="1:16" ht="18.75">
      <c r="A13" s="15">
        <v>192</v>
      </c>
      <c r="B13" s="14" t="str">
        <f>VLOOKUP(A13,'дояры командная и база '!$A$4:$C93,2,FALSE)</f>
        <v>Герасимов Антон</v>
      </c>
      <c r="C13" s="14" t="str">
        <f>VLOOKUP(A13,'дояры командная и база '!$A$4:$C93,3,FALSE)</f>
        <v>Колышлейский</v>
      </c>
      <c r="D13" s="76"/>
      <c r="E13" s="47">
        <f>VLOOKUP(A13,'мужчины дояры мех лыжи'!$A$7:$I$77,8,FALSE)</f>
        <v>17</v>
      </c>
      <c r="F13" s="203">
        <f>VLOOKUP(A13,'мужчины дояры мех лыжи'!$A$7:$I$77,9,FALSE)</f>
        <v>64</v>
      </c>
      <c r="G13" s="74"/>
      <c r="H13" s="47">
        <v>15</v>
      </c>
      <c r="I13" s="82">
        <f t="shared" si="0"/>
        <v>66</v>
      </c>
      <c r="J13" s="74"/>
      <c r="K13" s="75">
        <v>4</v>
      </c>
      <c r="L13" s="82">
        <f t="shared" si="1"/>
        <v>180</v>
      </c>
      <c r="M13" s="103">
        <f t="shared" si="2"/>
        <v>310</v>
      </c>
      <c r="N13" s="30">
        <v>8</v>
      </c>
      <c r="O13" s="1">
        <f t="shared" si="3"/>
        <v>76</v>
      </c>
      <c r="P13" s="84"/>
    </row>
    <row r="14" spans="1:16" ht="18.75">
      <c r="A14" s="15">
        <v>173</v>
      </c>
      <c r="B14" s="14" t="str">
        <f>VLOOKUP(A14,'дояры командная и база '!$A$4:$C91,2,FALSE)</f>
        <v>Балуев Денис</v>
      </c>
      <c r="C14" s="14" t="str">
        <f>VLOOKUP(A14,'дояры командная и база '!$A$4:$C91,3,FALSE)</f>
        <v>Белинский</v>
      </c>
      <c r="D14" s="76"/>
      <c r="E14" s="47">
        <f>VLOOKUP(A14,'мужчины дояры мех лыжи'!$A$7:$I$77,8,FALSE)</f>
        <v>15</v>
      </c>
      <c r="F14" s="203">
        <f>VLOOKUP(A14,'мужчины дояры мех лыжи'!$A$7:$I$77,9,FALSE)</f>
        <v>66</v>
      </c>
      <c r="G14" s="74"/>
      <c r="H14" s="47">
        <v>5</v>
      </c>
      <c r="I14" s="82">
        <f t="shared" si="0"/>
        <v>85</v>
      </c>
      <c r="J14" s="74"/>
      <c r="K14" s="75">
        <v>8</v>
      </c>
      <c r="L14" s="82">
        <f t="shared" si="1"/>
        <v>152</v>
      </c>
      <c r="M14" s="103">
        <f t="shared" si="2"/>
        <v>303</v>
      </c>
      <c r="N14" s="30">
        <v>9</v>
      </c>
      <c r="O14" s="1">
        <f t="shared" si="3"/>
        <v>74</v>
      </c>
      <c r="P14" s="84"/>
    </row>
    <row r="15" spans="1:16" ht="18.75">
      <c r="A15" s="15">
        <v>24</v>
      </c>
      <c r="B15" s="14" t="str">
        <f>VLOOKUP(A15,'дояры командная и база '!$A$4:$C74,2,FALSE)</f>
        <v>Грачев Илья</v>
      </c>
      <c r="C15" s="14" t="str">
        <f>VLOOKUP(A15,'дояры командная и база '!$A$4:$C74,3,FALSE)</f>
        <v>Нижнеломовский</v>
      </c>
      <c r="D15" s="76"/>
      <c r="E15" s="47">
        <f>VLOOKUP(A15,'мужчины дояры мех лыжи'!$A$7:$I$77,8,FALSE)</f>
        <v>5</v>
      </c>
      <c r="F15" s="47">
        <f>VLOOKUP(A15,'мужчины дояры мех лыжи'!$A$7:$I$77,9,FALSE)</f>
        <v>85</v>
      </c>
      <c r="G15" s="74"/>
      <c r="H15" s="47">
        <v>2</v>
      </c>
      <c r="I15" s="82">
        <f t="shared" si="0"/>
        <v>108</v>
      </c>
      <c r="J15" s="74"/>
      <c r="K15" s="75">
        <v>26</v>
      </c>
      <c r="L15" s="82">
        <f t="shared" si="1"/>
        <v>110</v>
      </c>
      <c r="M15" s="103">
        <f t="shared" si="2"/>
        <v>303</v>
      </c>
      <c r="N15" s="30">
        <v>10</v>
      </c>
      <c r="O15" s="1">
        <f t="shared" si="3"/>
        <v>72</v>
      </c>
      <c r="P15" s="84"/>
    </row>
    <row r="16" spans="1:16" ht="18.75">
      <c r="A16" s="15">
        <v>31</v>
      </c>
      <c r="B16" s="14" t="str">
        <f>VLOOKUP(A16,'дояры командная и база '!$A$4:$C83,2,FALSE)</f>
        <v>Садомов Александр</v>
      </c>
      <c r="C16" s="14" t="str">
        <f>VLOOKUP(A16,'дояры командная и база '!$A$4:$C83,3,FALSE)</f>
        <v>Земетчинский</v>
      </c>
      <c r="D16" s="76"/>
      <c r="E16" s="47">
        <f>VLOOKUP(A16,'мужчины дояры мех лыжи'!$A$7:$I$77,8,FALSE)</f>
        <v>25</v>
      </c>
      <c r="F16" s="203">
        <f>VLOOKUP(A16,'мужчины дояры мех лыжи'!$A$7:$I$77,9,FALSE)</f>
        <v>56</v>
      </c>
      <c r="G16" s="74"/>
      <c r="H16" s="47">
        <v>17</v>
      </c>
      <c r="I16" s="82">
        <f t="shared" si="0"/>
        <v>64</v>
      </c>
      <c r="J16" s="74"/>
      <c r="K16" s="75">
        <v>7</v>
      </c>
      <c r="L16" s="82">
        <f t="shared" si="1"/>
        <v>158</v>
      </c>
      <c r="M16" s="103">
        <f t="shared" si="2"/>
        <v>278</v>
      </c>
      <c r="N16" s="30">
        <v>11</v>
      </c>
      <c r="O16" s="1">
        <f t="shared" si="3"/>
        <v>70</v>
      </c>
      <c r="P16" s="84"/>
    </row>
    <row r="17" spans="1:16" ht="18.75">
      <c r="A17" s="15">
        <v>188</v>
      </c>
      <c r="B17" s="14" t="str">
        <f>VLOOKUP(A17,'дояры командная и база '!$A$4:$C88,2,FALSE)</f>
        <v>Тихонов Евгений</v>
      </c>
      <c r="C17" s="14" t="str">
        <f>VLOOKUP(A17,'дояры командная и база '!$A$4:$C88,3,FALSE)</f>
        <v>Сосновоборский</v>
      </c>
      <c r="D17" s="76"/>
      <c r="E17" s="47">
        <f>VLOOKUP(A17,'мужчины дояры мех лыжи'!$A$7:$I$77,8,FALSE)</f>
        <v>0</v>
      </c>
      <c r="F17" s="203">
        <f>VLOOKUP(A17,'мужчины дояры мех лыжи'!$A$7:$I$77,9,FALSE)</f>
        <v>0</v>
      </c>
      <c r="G17" s="74"/>
      <c r="H17" s="47">
        <v>3</v>
      </c>
      <c r="I17" s="82">
        <f t="shared" si="0"/>
        <v>98</v>
      </c>
      <c r="J17" s="74"/>
      <c r="K17" s="75">
        <v>5</v>
      </c>
      <c r="L17" s="82">
        <f t="shared" si="1"/>
        <v>170</v>
      </c>
      <c r="M17" s="103">
        <f t="shared" si="2"/>
        <v>268</v>
      </c>
      <c r="N17" s="30">
        <v>12</v>
      </c>
      <c r="O17" s="1">
        <f t="shared" si="3"/>
        <v>69</v>
      </c>
      <c r="P17" s="84"/>
    </row>
    <row r="18" spans="1:16" ht="18.75">
      <c r="A18" s="15">
        <v>172</v>
      </c>
      <c r="B18" s="14" t="str">
        <f>VLOOKUP(A18,'дояры командная и база '!$A$4:$C90,2,FALSE)</f>
        <v>Силоченков Максим</v>
      </c>
      <c r="C18" s="14" t="str">
        <f>VLOOKUP(A18,'дояры командная и база '!$A$4:$C90,3,FALSE)</f>
        <v>Белинский</v>
      </c>
      <c r="D18" s="76"/>
      <c r="E18" s="47">
        <f>VLOOKUP(A18,'мужчины дояры мех лыжи'!$A$7:$I$77,8,FALSE)</f>
        <v>13</v>
      </c>
      <c r="F18" s="203">
        <f>VLOOKUP(A18,'мужчины дояры мех лыжи'!$A$7:$I$77,9,FALSE)</f>
        <v>68</v>
      </c>
      <c r="G18" s="74"/>
      <c r="H18" s="47">
        <v>20</v>
      </c>
      <c r="I18" s="82">
        <f t="shared" si="0"/>
        <v>61</v>
      </c>
      <c r="J18" s="74"/>
      <c r="K18" s="75">
        <v>13</v>
      </c>
      <c r="L18" s="82">
        <f t="shared" si="1"/>
        <v>136</v>
      </c>
      <c r="M18" s="103">
        <f t="shared" si="2"/>
        <v>265</v>
      </c>
      <c r="N18" s="30">
        <v>13</v>
      </c>
      <c r="O18" s="1">
        <f aca="true" t="shared" si="4" ref="O18:O38">LOOKUP(N18,$P$3:$CQ$3,$P$4:$CQ$4)</f>
        <v>68</v>
      </c>
      <c r="P18" s="84"/>
    </row>
    <row r="19" spans="1:16" ht="18.75">
      <c r="A19" s="15">
        <v>170</v>
      </c>
      <c r="B19" s="14" t="str">
        <f>VLOOKUP(A19,'дояры командная и база '!$A$4:$C77,2,FALSE)</f>
        <v>Горшков Сергей</v>
      </c>
      <c r="C19" s="14" t="str">
        <f>VLOOKUP(A19,'дояры командная и база '!$A$4:$C77,3,FALSE)</f>
        <v>Малосердобинский</v>
      </c>
      <c r="D19" s="76"/>
      <c r="E19" s="47">
        <f>VLOOKUP(A19,'мужчины дояры мех лыжи'!$A$7:$I$77,8,FALSE)</f>
        <v>26</v>
      </c>
      <c r="F19" s="47">
        <f>VLOOKUP(A19,'мужчины дояры мех лыжи'!$A$7:$I$77,9,FALSE)</f>
        <v>55</v>
      </c>
      <c r="G19" s="74"/>
      <c r="H19" s="47">
        <v>13</v>
      </c>
      <c r="I19" s="82">
        <f t="shared" si="0"/>
        <v>68</v>
      </c>
      <c r="J19" s="74"/>
      <c r="K19" s="75">
        <v>11</v>
      </c>
      <c r="L19" s="82">
        <f t="shared" si="1"/>
        <v>140</v>
      </c>
      <c r="M19" s="103">
        <f t="shared" si="2"/>
        <v>263</v>
      </c>
      <c r="N19" s="30">
        <v>14</v>
      </c>
      <c r="O19" s="1">
        <f t="shared" si="4"/>
        <v>67</v>
      </c>
      <c r="P19" s="84"/>
    </row>
    <row r="20" spans="1:16" ht="18.75">
      <c r="A20" s="15">
        <v>11</v>
      </c>
      <c r="B20" s="14" t="str">
        <f>VLOOKUP(A20,'дояры командная и база '!$A$4:$C70,2,FALSE)</f>
        <v>Барков Дмитрий</v>
      </c>
      <c r="C20" s="14" t="str">
        <f>VLOOKUP(A20,'дояры командная и база '!$A$4:$C70,3,FALSE)</f>
        <v>Бековский</v>
      </c>
      <c r="D20" s="76"/>
      <c r="E20" s="47">
        <f>VLOOKUP(A20,'мужчины дояры мех лыжи'!$A$7:$I$77,8,FALSE)</f>
        <v>21</v>
      </c>
      <c r="F20" s="47">
        <f>VLOOKUP(A20,'мужчины дояры мех лыжи'!$A$7:$I$77,9,FALSE)</f>
        <v>60</v>
      </c>
      <c r="G20" s="74"/>
      <c r="H20" s="47">
        <v>7</v>
      </c>
      <c r="I20" s="82">
        <f t="shared" si="0"/>
        <v>79</v>
      </c>
      <c r="J20" s="74"/>
      <c r="K20" s="75">
        <v>19</v>
      </c>
      <c r="L20" s="82">
        <f t="shared" si="1"/>
        <v>124</v>
      </c>
      <c r="M20" s="103">
        <f t="shared" si="2"/>
        <v>263</v>
      </c>
      <c r="N20" s="30">
        <v>15</v>
      </c>
      <c r="O20" s="1">
        <f t="shared" si="4"/>
        <v>66</v>
      </c>
      <c r="P20" s="84"/>
    </row>
    <row r="21" spans="1:16" ht="18.75">
      <c r="A21" s="15">
        <v>29</v>
      </c>
      <c r="B21" s="14" t="str">
        <f>VLOOKUP(A21,'дояры командная и база '!$A$4:$C73,2,FALSE)</f>
        <v>Сейфуллин Рамис</v>
      </c>
      <c r="C21" s="14" t="str">
        <f>VLOOKUP(A21,'дояры командная и база '!$A$4:$C73,3,FALSE)</f>
        <v>Лопатинский</v>
      </c>
      <c r="D21" s="76"/>
      <c r="E21" s="47">
        <f>VLOOKUP(A21,'мужчины дояры мех лыжи'!$A$7:$I$77,8,FALSE)</f>
        <v>19</v>
      </c>
      <c r="F21" s="47">
        <f>VLOOKUP(A21,'мужчины дояры мех лыжи'!$A$7:$I$77,9,FALSE)</f>
        <v>62</v>
      </c>
      <c r="G21" s="74"/>
      <c r="H21" s="47">
        <v>10</v>
      </c>
      <c r="I21" s="82">
        <f t="shared" si="0"/>
        <v>72</v>
      </c>
      <c r="J21" s="74"/>
      <c r="K21" s="75">
        <v>17</v>
      </c>
      <c r="L21" s="82">
        <f t="shared" si="1"/>
        <v>128</v>
      </c>
      <c r="M21" s="103">
        <f t="shared" si="2"/>
        <v>262</v>
      </c>
      <c r="N21" s="30">
        <v>16</v>
      </c>
      <c r="O21" s="1">
        <f t="shared" si="4"/>
        <v>65</v>
      </c>
      <c r="P21" s="84"/>
    </row>
    <row r="22" spans="1:16" ht="18.75">
      <c r="A22" s="15">
        <v>32</v>
      </c>
      <c r="B22" s="14" t="str">
        <f>VLOOKUP(A22,'дояры командная и база '!$A$4:$C82,2,FALSE)</f>
        <v>Кузнецов Н</v>
      </c>
      <c r="C22" s="14" t="str">
        <f>VLOOKUP(A22,'дояры командная и база '!$A$4:$C82,3,FALSE)</f>
        <v>Никольский</v>
      </c>
      <c r="D22" s="76"/>
      <c r="E22" s="47">
        <f>VLOOKUP(A22,'мужчины дояры мех лыжи'!$A$7:$I$77,8,FALSE)</f>
        <v>29</v>
      </c>
      <c r="F22" s="203">
        <f>VLOOKUP(A22,'мужчины дояры мех лыжи'!$A$7:$I$77,9,FALSE)</f>
        <v>52</v>
      </c>
      <c r="G22" s="74"/>
      <c r="H22" s="47">
        <v>20</v>
      </c>
      <c r="I22" s="82">
        <f t="shared" si="0"/>
        <v>61</v>
      </c>
      <c r="J22" s="74"/>
      <c r="K22" s="75">
        <v>9</v>
      </c>
      <c r="L22" s="82">
        <f t="shared" si="1"/>
        <v>148</v>
      </c>
      <c r="M22" s="103">
        <f t="shared" si="2"/>
        <v>261</v>
      </c>
      <c r="N22" s="30">
        <v>17</v>
      </c>
      <c r="O22" s="1">
        <f t="shared" si="4"/>
        <v>64</v>
      </c>
      <c r="P22" s="84"/>
    </row>
    <row r="23" spans="1:16" ht="18.75">
      <c r="A23" s="15">
        <v>25</v>
      </c>
      <c r="B23" s="14" t="str">
        <f>VLOOKUP(A23,'дояры командная и база '!$A$4:$C75,2,FALSE)</f>
        <v>Кикин Дмитрий</v>
      </c>
      <c r="C23" s="14" t="str">
        <f>VLOOKUP(A23,'дояры командная и база '!$A$4:$C75,3,FALSE)</f>
        <v>Нижнеломовский</v>
      </c>
      <c r="D23" s="76"/>
      <c r="E23" s="47">
        <f>VLOOKUP(A23,'мужчины дояры мех лыжи'!$A$7:$I$77,8,FALSE)</f>
        <v>16</v>
      </c>
      <c r="F23" s="47">
        <f>VLOOKUP(A23,'мужчины дояры мех лыжи'!$A$7:$I$77,9,FALSE)</f>
        <v>65</v>
      </c>
      <c r="G23" s="74"/>
      <c r="H23" s="47">
        <v>4</v>
      </c>
      <c r="I23" s="82">
        <f t="shared" si="0"/>
        <v>90</v>
      </c>
      <c r="J23" s="74"/>
      <c r="K23" s="75">
        <v>28</v>
      </c>
      <c r="L23" s="82">
        <f t="shared" si="1"/>
        <v>106</v>
      </c>
      <c r="M23" s="103">
        <f t="shared" si="2"/>
        <v>261</v>
      </c>
      <c r="N23" s="30">
        <v>18</v>
      </c>
      <c r="O23" s="1">
        <f t="shared" si="4"/>
        <v>63</v>
      </c>
      <c r="P23" s="84"/>
    </row>
    <row r="24" spans="1:16" ht="18.75">
      <c r="A24" s="282" t="s">
        <v>331</v>
      </c>
      <c r="B24" s="14" t="str">
        <f>VLOOKUP(A24,'дояры командная и база '!$A$4:$C84,2,FALSE)</f>
        <v>Кирин Николай</v>
      </c>
      <c r="C24" s="14" t="str">
        <f>VLOOKUP(A24,'дояры командная и база '!$A$4:$C84,3,FALSE)</f>
        <v>Башмаковский</v>
      </c>
      <c r="D24" s="76"/>
      <c r="E24" s="47">
        <f>VLOOKUP(A24,'мужчины дояры мех лыжи'!$A$7:$I$77,8,FALSE)</f>
        <v>6</v>
      </c>
      <c r="F24" s="203">
        <f>VLOOKUP(A24,'мужчины дояры мех лыжи'!$A$7:$I$77,9,FALSE)</f>
        <v>82</v>
      </c>
      <c r="G24" s="74"/>
      <c r="H24" s="47">
        <v>21</v>
      </c>
      <c r="I24" s="82">
        <f t="shared" si="0"/>
        <v>60</v>
      </c>
      <c r="J24" s="74"/>
      <c r="K24" s="75">
        <v>24</v>
      </c>
      <c r="L24" s="82">
        <f t="shared" si="1"/>
        <v>114</v>
      </c>
      <c r="M24" s="103">
        <f t="shared" si="2"/>
        <v>256</v>
      </c>
      <c r="N24" s="30">
        <v>19</v>
      </c>
      <c r="O24" s="1">
        <f t="shared" si="4"/>
        <v>62</v>
      </c>
      <c r="P24" s="84"/>
    </row>
    <row r="25" spans="1:16" ht="18.75">
      <c r="A25" s="15">
        <v>196</v>
      </c>
      <c r="B25" s="14" t="str">
        <f>VLOOKUP(A25,'дояры командная и база '!$A$4:$C96,2,FALSE)</f>
        <v>Битнев А.</v>
      </c>
      <c r="C25" s="14" t="str">
        <f>VLOOKUP(A25,'дояры командная и база '!$A$4:$C96,3,FALSE)</f>
        <v>Неверкинский</v>
      </c>
      <c r="D25" s="76"/>
      <c r="E25" s="47">
        <f>VLOOKUP(A25,'мужчины дояры мех лыжи'!$A$7:$I$77,8,FALSE)</f>
        <v>18</v>
      </c>
      <c r="F25" s="203">
        <f>VLOOKUP(A25,'мужчины дояры мех лыжи'!$A$7:$I$77,9,FALSE)</f>
        <v>63</v>
      </c>
      <c r="G25" s="74"/>
      <c r="H25" s="47">
        <v>17</v>
      </c>
      <c r="I25" s="82">
        <f t="shared" si="0"/>
        <v>64</v>
      </c>
      <c r="J25" s="74"/>
      <c r="K25" s="75">
        <v>20</v>
      </c>
      <c r="L25" s="82">
        <f t="shared" si="1"/>
        <v>122</v>
      </c>
      <c r="M25" s="103">
        <f t="shared" si="2"/>
        <v>249</v>
      </c>
      <c r="N25" s="30">
        <v>20</v>
      </c>
      <c r="O25" s="1">
        <f t="shared" si="4"/>
        <v>61</v>
      </c>
      <c r="P25" s="84"/>
    </row>
    <row r="26" spans="1:16" ht="18.75">
      <c r="A26" s="15">
        <v>171</v>
      </c>
      <c r="B26" s="14" t="str">
        <f>VLOOKUP(A26,'дояры командная и база '!$A$4:$C78,2,FALSE)</f>
        <v>Заварзин Денис</v>
      </c>
      <c r="C26" s="14" t="str">
        <f>VLOOKUP(A26,'дояры командная и база '!$A$4:$C78,3,FALSE)</f>
        <v>Малосердобинский</v>
      </c>
      <c r="D26" s="76"/>
      <c r="E26" s="47">
        <f>VLOOKUP(A26,'мужчины дояры мех лыжи'!$A$7:$I$77,8,FALSE)</f>
        <v>28</v>
      </c>
      <c r="F26" s="47">
        <f>VLOOKUP(A26,'мужчины дояры мех лыжи'!$A$7:$I$77,9,FALSE)</f>
        <v>53</v>
      </c>
      <c r="G26" s="74"/>
      <c r="H26" s="47">
        <v>17</v>
      </c>
      <c r="I26" s="82">
        <f t="shared" si="0"/>
        <v>64</v>
      </c>
      <c r="J26" s="74"/>
      <c r="K26" s="75">
        <v>16</v>
      </c>
      <c r="L26" s="82">
        <f t="shared" si="1"/>
        <v>130</v>
      </c>
      <c r="M26" s="103">
        <f t="shared" si="2"/>
        <v>247</v>
      </c>
      <c r="N26" s="30">
        <v>21</v>
      </c>
      <c r="O26" s="1">
        <f t="shared" si="4"/>
        <v>60</v>
      </c>
      <c r="P26" s="84"/>
    </row>
    <row r="27" spans="1:16" ht="18.75">
      <c r="A27" s="15">
        <v>195</v>
      </c>
      <c r="B27" s="14" t="str">
        <f>VLOOKUP(A27,'дояры командная и база '!$A$4:$C95,2,FALSE)</f>
        <v>Нуждов Я.</v>
      </c>
      <c r="C27" s="14" t="str">
        <f>VLOOKUP(A27,'дояры командная и база '!$A$4:$C95,3,FALSE)</f>
        <v>Неверкинский</v>
      </c>
      <c r="D27" s="76"/>
      <c r="E27" s="47">
        <f>VLOOKUP(A27,'мужчины дояры мех лыжи'!$A$7:$I$105,8,FALSE)</f>
        <v>10</v>
      </c>
      <c r="F27" s="203">
        <f>VLOOKUP(A27,'мужчины дояры мех лыжи'!$A$7:$I$77,9,FALSE)</f>
        <v>72</v>
      </c>
      <c r="G27" s="74"/>
      <c r="H27" s="47">
        <v>22</v>
      </c>
      <c r="I27" s="82">
        <f t="shared" si="0"/>
        <v>59</v>
      </c>
      <c r="J27" s="74"/>
      <c r="K27" s="75">
        <v>25</v>
      </c>
      <c r="L27" s="82">
        <f t="shared" si="1"/>
        <v>112</v>
      </c>
      <c r="M27" s="103">
        <f t="shared" si="2"/>
        <v>243</v>
      </c>
      <c r="N27" s="30">
        <v>22</v>
      </c>
      <c r="O27" s="1">
        <f t="shared" si="4"/>
        <v>59</v>
      </c>
      <c r="P27" s="84"/>
    </row>
    <row r="28" spans="1:16" ht="18.75">
      <c r="A28" s="15">
        <v>10</v>
      </c>
      <c r="B28" s="14" t="str">
        <f>VLOOKUP(A28,'дояры командная и база '!$A$4:$C69,2,FALSE)</f>
        <v>Климов Дмитрий</v>
      </c>
      <c r="C28" s="14" t="str">
        <f>VLOOKUP(A28,'дояры командная и база '!$A$4:$C69,3,FALSE)</f>
        <v>Бековский</v>
      </c>
      <c r="D28" s="76"/>
      <c r="E28" s="47">
        <f>VLOOKUP(A28,'мужчины дояры мех лыжи'!$A$7:$I$77,8,FALSE)</f>
        <v>24</v>
      </c>
      <c r="F28" s="47">
        <f>VLOOKUP(A28,'мужчины дояры мех лыжи'!$A$7:$I$77,9,FALSE)</f>
        <v>57</v>
      </c>
      <c r="G28" s="74"/>
      <c r="H28" s="47">
        <v>16</v>
      </c>
      <c r="I28" s="82">
        <f t="shared" si="0"/>
        <v>65</v>
      </c>
      <c r="J28" s="74"/>
      <c r="K28" s="75">
        <v>21</v>
      </c>
      <c r="L28" s="82">
        <f t="shared" si="1"/>
        <v>120</v>
      </c>
      <c r="M28" s="103">
        <f t="shared" si="2"/>
        <v>242</v>
      </c>
      <c r="N28" s="30">
        <v>23</v>
      </c>
      <c r="O28" s="1">
        <f t="shared" si="4"/>
        <v>58</v>
      </c>
      <c r="P28" s="84"/>
    </row>
    <row r="29" spans="1:16" ht="18.75">
      <c r="A29" s="282" t="s">
        <v>332</v>
      </c>
      <c r="B29" s="14" t="str">
        <f>VLOOKUP(A29,'дояры командная и база '!$A$4:$C85,2,FALSE)</f>
        <v>Климцов Николай</v>
      </c>
      <c r="C29" s="14" t="str">
        <f>VLOOKUP(A29,'дояры командная и база '!$A$4:$C85,3,FALSE)</f>
        <v>Башмаковский</v>
      </c>
      <c r="D29" s="76"/>
      <c r="E29" s="47">
        <f>VLOOKUP(A29,'мужчины дояры мех лыжи'!$A$7:$I$77,8,FALSE)</f>
        <v>20</v>
      </c>
      <c r="F29" s="203">
        <f>VLOOKUP(A29,'мужчины дояры мех лыжи'!$A$7:$I$77,9,FALSE)</f>
        <v>61</v>
      </c>
      <c r="G29" s="74"/>
      <c r="H29" s="47">
        <v>19</v>
      </c>
      <c r="I29" s="82">
        <f t="shared" si="0"/>
        <v>62</v>
      </c>
      <c r="J29" s="74"/>
      <c r="K29" s="75">
        <v>29</v>
      </c>
      <c r="L29" s="82">
        <f t="shared" si="1"/>
        <v>104</v>
      </c>
      <c r="M29" s="103">
        <f t="shared" si="2"/>
        <v>227</v>
      </c>
      <c r="N29" s="30">
        <v>24</v>
      </c>
      <c r="O29" s="1">
        <f t="shared" si="4"/>
        <v>57</v>
      </c>
      <c r="P29" s="84"/>
    </row>
    <row r="30" spans="1:16" ht="18.75">
      <c r="A30" s="15">
        <v>189</v>
      </c>
      <c r="B30" s="14" t="str">
        <f>VLOOKUP(A30,'дояры командная и база '!$A$4:$C89,2,FALSE)</f>
        <v>Фарафанов Дмитрий</v>
      </c>
      <c r="C30" s="14" t="str">
        <f>VLOOKUP(A30,'дояры командная и база '!$A$4:$C89,3,FALSE)</f>
        <v>Сосновоборский</v>
      </c>
      <c r="D30" s="76"/>
      <c r="E30" s="47">
        <f>VLOOKUP(A30,'мужчины дояры мех лыжи'!$A$7:$I$77,8,FALSE)</f>
        <v>0</v>
      </c>
      <c r="F30" s="203">
        <f>VLOOKUP(A30,'мужчины дояры мех лыжи'!$A$7:$I$77,9,FALSE)</f>
        <v>0</v>
      </c>
      <c r="G30" s="74"/>
      <c r="H30" s="47">
        <v>6</v>
      </c>
      <c r="I30" s="82">
        <f t="shared" si="0"/>
        <v>82</v>
      </c>
      <c r="J30" s="74"/>
      <c r="K30" s="75">
        <v>10</v>
      </c>
      <c r="L30" s="82">
        <f t="shared" si="1"/>
        <v>144</v>
      </c>
      <c r="M30" s="103">
        <f t="shared" si="2"/>
        <v>226</v>
      </c>
      <c r="N30" s="30">
        <v>25</v>
      </c>
      <c r="O30" s="1">
        <f t="shared" si="4"/>
        <v>56</v>
      </c>
      <c r="P30" s="84"/>
    </row>
    <row r="31" spans="1:16" ht="18.75">
      <c r="A31" s="15" t="s">
        <v>270</v>
      </c>
      <c r="B31" s="14" t="str">
        <f>VLOOKUP(A31,'дояры командная и база '!$A$4:$C87,2,FALSE)</f>
        <v>Воропаев Антон</v>
      </c>
      <c r="C31" s="14" t="str">
        <f>VLOOKUP(A31,'дояры командная и база '!$A$4:$C87,3,FALSE)</f>
        <v>Городищенский</v>
      </c>
      <c r="D31" s="76"/>
      <c r="E31" s="47">
        <f>VLOOKUP(A31,'мужчины дояры мех лыжи'!$A$7:$I$77,8,FALSE)</f>
        <v>8</v>
      </c>
      <c r="F31" s="203">
        <f>VLOOKUP(A31,'мужчины дояры мех лыжи'!$A$7:$I$77,9,FALSE)</f>
        <v>76</v>
      </c>
      <c r="G31" s="74"/>
      <c r="H31" s="47">
        <v>0</v>
      </c>
      <c r="I31" s="82">
        <v>0</v>
      </c>
      <c r="J31" s="74"/>
      <c r="K31" s="75">
        <v>15</v>
      </c>
      <c r="L31" s="82">
        <f t="shared" si="1"/>
        <v>132</v>
      </c>
      <c r="M31" s="103">
        <f t="shared" si="2"/>
        <v>208</v>
      </c>
      <c r="N31" s="30">
        <v>26</v>
      </c>
      <c r="O31" s="1">
        <f t="shared" si="4"/>
        <v>55</v>
      </c>
      <c r="P31" s="84"/>
    </row>
    <row r="32" spans="1:16" ht="18.75">
      <c r="A32" s="15">
        <v>183</v>
      </c>
      <c r="B32" s="14" t="str">
        <f>VLOOKUP(A32,'дояры командная и база '!$A$4:$C81,2,FALSE)</f>
        <v>Дятлов Николай</v>
      </c>
      <c r="C32" s="14" t="str">
        <f>VLOOKUP(A32,'дояры командная и база '!$A$4:$C81,3,FALSE)</f>
        <v>Каменский</v>
      </c>
      <c r="D32" s="76"/>
      <c r="E32" s="47">
        <f>VLOOKUP(A32,'мужчины дояры мех лыжи'!$A$7:$I$77,8,FALSE)</f>
        <v>14</v>
      </c>
      <c r="F32" s="47">
        <f>VLOOKUP(A32,'мужчины дояры мех лыжи'!$A$7:$I$77,9,FALSE)</f>
        <v>67</v>
      </c>
      <c r="G32" s="74"/>
      <c r="H32" s="47">
        <v>0</v>
      </c>
      <c r="I32" s="82">
        <v>0</v>
      </c>
      <c r="J32" s="74"/>
      <c r="K32" s="75">
        <v>23</v>
      </c>
      <c r="L32" s="82">
        <f t="shared" si="1"/>
        <v>116</v>
      </c>
      <c r="M32" s="103">
        <f t="shared" si="2"/>
        <v>183</v>
      </c>
      <c r="N32" s="30">
        <v>27</v>
      </c>
      <c r="O32" s="1">
        <f t="shared" si="4"/>
        <v>54</v>
      </c>
      <c r="P32" s="84"/>
    </row>
    <row r="33" spans="1:16" ht="18.75">
      <c r="A33" s="15" t="s">
        <v>269</v>
      </c>
      <c r="B33" s="14" t="str">
        <f>VLOOKUP(A33,'дояры командная и база '!$A$4:$C86,2,FALSE)</f>
        <v>Самойлов Алексей</v>
      </c>
      <c r="C33" s="14" t="str">
        <f>VLOOKUP(A33,'дояры командная и база '!$A$4:$C86,3,FALSE)</f>
        <v>Городищенский</v>
      </c>
      <c r="D33" s="76"/>
      <c r="E33" s="47">
        <f>VLOOKUP(A33,'мужчины дояры мех лыжи'!$A$7:$I$77,8,FALSE)</f>
        <v>23</v>
      </c>
      <c r="F33" s="203">
        <f>VLOOKUP(A33,'мужчины дояры мех лыжи'!$A$7:$I$77,9,FALSE)</f>
        <v>58</v>
      </c>
      <c r="G33" s="74"/>
      <c r="H33" s="47">
        <v>0</v>
      </c>
      <c r="I33" s="82">
        <v>0</v>
      </c>
      <c r="J33" s="74"/>
      <c r="K33" s="75">
        <v>22</v>
      </c>
      <c r="L33" s="82">
        <f t="shared" si="1"/>
        <v>118</v>
      </c>
      <c r="M33" s="103">
        <f t="shared" si="2"/>
        <v>176</v>
      </c>
      <c r="N33" s="30">
        <v>28</v>
      </c>
      <c r="O33" s="1">
        <f t="shared" si="4"/>
        <v>53</v>
      </c>
      <c r="P33" s="84"/>
    </row>
    <row r="34" spans="1:16" ht="18.75">
      <c r="A34" s="15">
        <v>177</v>
      </c>
      <c r="B34" s="14" t="str">
        <f>VLOOKUP(A34,'дояры командная и база '!$A$4:$C80,2,FALSE)</f>
        <v>Возьмилов Василий</v>
      </c>
      <c r="C34" s="14" t="str">
        <f>VLOOKUP(A34,'дояры командная и база '!$A$4:$C80,3,FALSE)</f>
        <v>Спасский</v>
      </c>
      <c r="D34" s="76"/>
      <c r="E34" s="47">
        <f>VLOOKUP(A34,'мужчины дояры мех лыжи'!$A$7:$I$77,8,FALSE)</f>
        <v>4</v>
      </c>
      <c r="F34" s="47">
        <f>VLOOKUP(A34,'мужчины дояры мех лыжи'!$A$7:$I$77,9,FALSE)</f>
        <v>90</v>
      </c>
      <c r="G34" s="74"/>
      <c r="H34" s="47">
        <v>8</v>
      </c>
      <c r="I34" s="82">
        <f>LOOKUP(H34,$P$3:$CQ$3,$P$4:$CQ$4)</f>
        <v>76</v>
      </c>
      <c r="J34" s="74"/>
      <c r="K34" s="75"/>
      <c r="L34" s="82">
        <v>0</v>
      </c>
      <c r="M34" s="103">
        <f t="shared" si="2"/>
        <v>166</v>
      </c>
      <c r="N34" s="30">
        <v>29</v>
      </c>
      <c r="O34" s="1">
        <f t="shared" si="4"/>
        <v>52</v>
      </c>
      <c r="P34" s="84"/>
    </row>
    <row r="35" spans="1:16" ht="18.75">
      <c r="A35" s="15">
        <v>15</v>
      </c>
      <c r="B35" s="14" t="str">
        <f>VLOOKUP(A35,'дояры командная и база '!$A$4:$C94,2,FALSE)</f>
        <v>Шишов Владимир</v>
      </c>
      <c r="C35" s="14" t="str">
        <f>VLOOKUP(A35,'дояры командная и база '!$A$4:$C94,3,FALSE)</f>
        <v>Камешкирский</v>
      </c>
      <c r="D35" s="76"/>
      <c r="E35" s="47">
        <f>VLOOKUP(A35,'мужчины дояры мех лыжи'!$A$7:$I$77,8,FALSE)</f>
        <v>27</v>
      </c>
      <c r="F35" s="203">
        <f>VLOOKUP(A35,'мужчины дояры мех лыжи'!$A$7:$I$77,9,FALSE)</f>
        <v>54</v>
      </c>
      <c r="G35" s="74"/>
      <c r="H35" s="47">
        <v>0</v>
      </c>
      <c r="I35" s="82">
        <v>0</v>
      </c>
      <c r="J35" s="74"/>
      <c r="K35" s="75">
        <v>30</v>
      </c>
      <c r="L35" s="82">
        <f>LOOKUP(K35,$P$3:$CQ$3,$P$4:$CQ$4)*2</f>
        <v>102</v>
      </c>
      <c r="M35" s="103">
        <f t="shared" si="2"/>
        <v>156</v>
      </c>
      <c r="N35" s="30">
        <v>30</v>
      </c>
      <c r="O35" s="1">
        <f t="shared" si="4"/>
        <v>51</v>
      </c>
      <c r="P35" s="84"/>
    </row>
    <row r="36" spans="1:16" ht="18.75">
      <c r="A36" s="15">
        <v>176</v>
      </c>
      <c r="B36" s="14" t="str">
        <f>VLOOKUP(A36,'дояры командная и база '!$A$4:$C79,2,FALSE)</f>
        <v>Спирин Сергей</v>
      </c>
      <c r="C36" s="14" t="str">
        <f>VLOOKUP(A36,'дояры командная и база '!$A$4:$C79,3,FALSE)</f>
        <v>Спасский</v>
      </c>
      <c r="D36" s="76"/>
      <c r="E36" s="47">
        <f>VLOOKUP(A36,'мужчины дояры мех лыжи'!$A$7:$I$77,8,FALSE)</f>
        <v>12</v>
      </c>
      <c r="F36" s="47">
        <f>VLOOKUP(A36,'мужчины дояры мех лыжи'!$A$7:$I$77,9,FALSE)</f>
        <v>69</v>
      </c>
      <c r="G36" s="74"/>
      <c r="H36" s="47">
        <v>12</v>
      </c>
      <c r="I36" s="82">
        <f>LOOKUP(H36,$P$3:$CQ$3,$P$4:$CQ$4)</f>
        <v>69</v>
      </c>
      <c r="J36" s="74"/>
      <c r="K36" s="75"/>
      <c r="L36" s="82">
        <v>0</v>
      </c>
      <c r="M36" s="103">
        <f t="shared" si="2"/>
        <v>138</v>
      </c>
      <c r="N36" s="30">
        <v>31</v>
      </c>
      <c r="O36" s="1">
        <f t="shared" si="4"/>
        <v>50</v>
      </c>
      <c r="P36" s="84"/>
    </row>
    <row r="37" spans="1:16" ht="18.75">
      <c r="A37" s="15">
        <v>8</v>
      </c>
      <c r="B37" s="14" t="str">
        <f>VLOOKUP(A37,'дояры командная и база '!$A$4:$C67,2,FALSE)</f>
        <v>Бормотов Константин</v>
      </c>
      <c r="C37" s="14" t="str">
        <f>VLOOKUP(A37,'дояры командная и база '!$A$4:$C67,3,FALSE)</f>
        <v>Наровчатский</v>
      </c>
      <c r="D37" s="76"/>
      <c r="E37" s="47">
        <f>VLOOKUP(A37,'мужчины дояры мех лыжи'!$A$7:$I$77,8,FALSE)</f>
        <v>0</v>
      </c>
      <c r="F37" s="47">
        <f>VLOOKUP(A37,'мужчины дояры мех лыжи'!$A$7:$I$77,9,FALSE)</f>
        <v>0</v>
      </c>
      <c r="G37" s="74"/>
      <c r="H37" s="47">
        <v>0</v>
      </c>
      <c r="I37" s="82">
        <v>0</v>
      </c>
      <c r="J37" s="74"/>
      <c r="K37" s="75">
        <v>27</v>
      </c>
      <c r="L37" s="82">
        <f>LOOKUP(K37,$P$3:$CQ$3,$P$4:$CQ$4)*2</f>
        <v>108</v>
      </c>
      <c r="M37" s="103">
        <f t="shared" si="2"/>
        <v>108</v>
      </c>
      <c r="N37" s="30">
        <v>32</v>
      </c>
      <c r="O37" s="1">
        <f t="shared" si="4"/>
        <v>49</v>
      </c>
      <c r="P37" s="84"/>
    </row>
    <row r="38" spans="1:16" ht="18.75">
      <c r="A38" s="15">
        <v>31</v>
      </c>
      <c r="B38" s="14" t="str">
        <f>VLOOKUP(A38,'дояры командная и база '!$A$4:$C76,2,FALSE)</f>
        <v>Садомов Александр</v>
      </c>
      <c r="C38" s="14" t="str">
        <f>VLOOKUP(A38,'дояры командная и база '!$A$4:$C76,3,FALSE)</f>
        <v>Земетчинский</v>
      </c>
      <c r="D38" s="76"/>
      <c r="E38" s="47">
        <f>VLOOKUP(A38,'мужчины дояры мех лыжи'!$A$7:$I$77,8,FALSE)</f>
        <v>25</v>
      </c>
      <c r="F38" s="47">
        <f>VLOOKUP(A38,'мужчины дояры мех лыжи'!$A$7:$I$77,9,FALSE)</f>
        <v>56</v>
      </c>
      <c r="G38" s="74"/>
      <c r="H38" s="47">
        <v>0</v>
      </c>
      <c r="I38" s="82">
        <v>0</v>
      </c>
      <c r="J38" s="74"/>
      <c r="K38" s="75"/>
      <c r="L38" s="82">
        <v>0</v>
      </c>
      <c r="M38" s="103">
        <f t="shared" si="2"/>
        <v>56</v>
      </c>
      <c r="N38" s="30">
        <v>33</v>
      </c>
      <c r="O38" s="1">
        <f t="shared" si="4"/>
        <v>48</v>
      </c>
      <c r="P38" s="84"/>
    </row>
    <row r="39" spans="1:16" ht="18.75">
      <c r="A39" s="256"/>
      <c r="B39" s="257" t="s">
        <v>18</v>
      </c>
      <c r="C39" s="256"/>
      <c r="D39" s="256"/>
      <c r="E39" s="256"/>
      <c r="F39" s="258"/>
      <c r="G39" s="258"/>
      <c r="H39" s="256"/>
      <c r="I39" s="258"/>
      <c r="J39" s="258"/>
      <c r="K39" s="258"/>
      <c r="L39" s="258"/>
      <c r="M39" s="256"/>
      <c r="N39" s="257"/>
      <c r="O39" s="259"/>
      <c r="P39" s="84"/>
    </row>
    <row r="40" spans="1:16" ht="18.75">
      <c r="A40" s="14" t="s">
        <v>301</v>
      </c>
      <c r="B40" s="14" t="str">
        <f>VLOOKUP(A40,'дояры командная и база '!$A$4:$C95,2,FALSE)</f>
        <v>Семашкина Татьяна</v>
      </c>
      <c r="C40" s="14" t="str">
        <f>VLOOKUP(A40,'дояры командная и база '!$A$4:$C95,3,FALSE)</f>
        <v>Шемышейский</v>
      </c>
      <c r="D40" s="76"/>
      <c r="E40" s="225">
        <f>VLOOKUP(A40,'женщины дояры мех лыжи'!$A$7:$I$35,8,FALSE)</f>
        <v>5</v>
      </c>
      <c r="F40" s="47">
        <f>VLOOKUP(A40,'женщины дояры мех лыжи'!$A$7:$I49,9,FALSE)</f>
        <v>85</v>
      </c>
      <c r="G40" s="74"/>
      <c r="H40" s="47">
        <v>10</v>
      </c>
      <c r="I40" s="82">
        <f aca="true" t="shared" si="5" ref="I40:I52">LOOKUP(H40,$P$3:$CQ$3,$P$4:$CQ$4)</f>
        <v>72</v>
      </c>
      <c r="J40" s="74"/>
      <c r="K40" s="75">
        <v>1</v>
      </c>
      <c r="L40" s="82">
        <f aca="true" t="shared" si="6" ref="L40:L54">LOOKUP(K40,$P$3:$CQ$3,$P$4:$CQ$4)*2</f>
        <v>240</v>
      </c>
      <c r="M40" s="103">
        <f aca="true" t="shared" si="7" ref="M40:M54">L40+I40+F40</f>
        <v>397</v>
      </c>
      <c r="N40" s="224">
        <v>1</v>
      </c>
      <c r="O40" s="1">
        <f aca="true" t="shared" si="8" ref="O40:O54">LOOKUP(N40,$P$3:$CQ$3,$P$4:$CQ$4)</f>
        <v>120</v>
      </c>
      <c r="P40" s="84"/>
    </row>
    <row r="41" spans="1:16" ht="18.75">
      <c r="A41" s="14" t="s">
        <v>300</v>
      </c>
      <c r="B41" s="14" t="str">
        <f>VLOOKUP(A41,'дояры командная и база '!$A$4:$C94,2,FALSE)</f>
        <v>Антошкина Татьяна</v>
      </c>
      <c r="C41" s="14" t="str">
        <f>VLOOKUP(A41,'дояры командная и база '!$A$4:$C94,3,FALSE)</f>
        <v>Шемышейский</v>
      </c>
      <c r="D41" s="76"/>
      <c r="E41" s="225">
        <f>VLOOKUP(A41,'женщины дояры мех лыжи'!$A$7:$I$35,8,FALSE)</f>
        <v>4</v>
      </c>
      <c r="F41" s="47">
        <f>VLOOKUP(A41,'женщины дояры мех лыжи'!$A$7:$I48,9,FALSE)</f>
        <v>90</v>
      </c>
      <c r="G41" s="74"/>
      <c r="H41" s="47">
        <v>5</v>
      </c>
      <c r="I41" s="82">
        <f t="shared" si="5"/>
        <v>85</v>
      </c>
      <c r="J41" s="74"/>
      <c r="K41" s="75">
        <v>2</v>
      </c>
      <c r="L41" s="82">
        <f t="shared" si="6"/>
        <v>216</v>
      </c>
      <c r="M41" s="103">
        <f t="shared" si="7"/>
        <v>391</v>
      </c>
      <c r="N41" s="30">
        <v>2</v>
      </c>
      <c r="O41" s="1">
        <f t="shared" si="8"/>
        <v>108</v>
      </c>
      <c r="P41" s="84"/>
    </row>
    <row r="42" spans="1:16" ht="18.75">
      <c r="A42" s="14">
        <v>18</v>
      </c>
      <c r="B42" s="14" t="str">
        <f>VLOOKUP(A42,'дояры командная и база '!$A$4:$C82,2,FALSE)</f>
        <v>Волкова Кристина</v>
      </c>
      <c r="C42" s="14" t="str">
        <f>VLOOKUP(A42,'дояры командная и база '!$A$4:$C82,3,FALSE)</f>
        <v>Сердобский</v>
      </c>
      <c r="D42" s="76"/>
      <c r="E42" s="47">
        <f>VLOOKUP(A42,'женщины дояры мех лыжи'!$A$7:$I$35,8,FALSE)</f>
        <v>1</v>
      </c>
      <c r="F42" s="47">
        <f>VLOOKUP(A42,'женщины дояры мех лыжи'!$A$7:$I36,9,FALSE)</f>
        <v>120</v>
      </c>
      <c r="G42" s="74"/>
      <c r="H42" s="47">
        <v>8</v>
      </c>
      <c r="I42" s="82">
        <f t="shared" si="5"/>
        <v>76</v>
      </c>
      <c r="J42" s="74"/>
      <c r="K42" s="75">
        <v>5</v>
      </c>
      <c r="L42" s="82">
        <f t="shared" si="6"/>
        <v>170</v>
      </c>
      <c r="M42" s="103">
        <f t="shared" si="7"/>
        <v>366</v>
      </c>
      <c r="N42" s="224">
        <v>3</v>
      </c>
      <c r="O42" s="1">
        <f t="shared" si="8"/>
        <v>98</v>
      </c>
      <c r="P42" s="84"/>
    </row>
    <row r="43" spans="1:16" ht="18.75" hidden="1">
      <c r="A43" s="14"/>
      <c r="B43" s="14" t="e">
        <f>VLOOKUP(A43,'дояры командная и база '!$A$4:$C84,2,FALSE)</f>
        <v>#N/A</v>
      </c>
      <c r="C43" s="14" t="e">
        <f>VLOOKUP(A43,'дояры командная и база '!$A$4:$C84,3,FALSE)</f>
        <v>#N/A</v>
      </c>
      <c r="D43" s="76"/>
      <c r="E43" s="47" t="e">
        <f>VLOOKUP(A43,'женщины дояры мех лыжи'!$A$7:$I$35,8,FALSE)</f>
        <v>#N/A</v>
      </c>
      <c r="F43" s="47" t="e">
        <f>VLOOKUP(A43,'женщины дояры мех лыжи'!$A$7:$I38,9,FALSE)</f>
        <v>#N/A</v>
      </c>
      <c r="G43" s="74"/>
      <c r="H43" s="47"/>
      <c r="I43" s="82" t="e">
        <f t="shared" si="5"/>
        <v>#N/A</v>
      </c>
      <c r="J43" s="74"/>
      <c r="K43" s="75">
        <v>4</v>
      </c>
      <c r="L43" s="82">
        <f t="shared" si="6"/>
        <v>180</v>
      </c>
      <c r="M43" s="103" t="e">
        <f t="shared" si="7"/>
        <v>#N/A</v>
      </c>
      <c r="N43" s="30">
        <v>4</v>
      </c>
      <c r="O43" s="1">
        <f t="shared" si="8"/>
        <v>90</v>
      </c>
      <c r="P43" s="84"/>
    </row>
    <row r="44" spans="1:16" ht="18.75">
      <c r="A44" s="14">
        <v>16</v>
      </c>
      <c r="B44" s="14" t="str">
        <f>VLOOKUP(A44,'дояры командная и база '!$A$4:$C85,2,FALSE)</f>
        <v>Юдина Татьяна</v>
      </c>
      <c r="C44" s="14" t="str">
        <f>VLOOKUP(A44,'дояры командная и база '!$A$4:$C85,3,FALSE)</f>
        <v>Бессоновский</v>
      </c>
      <c r="D44" s="76"/>
      <c r="E44" s="47">
        <f>VLOOKUP(A44,'женщины дояры мех лыжи'!$A$7:$I$35,8,FALSE)</f>
        <v>2</v>
      </c>
      <c r="F44" s="47">
        <f>VLOOKUP(A44,'женщины дояры мех лыжи'!$A$7:$I39,9,FALSE)</f>
        <v>108</v>
      </c>
      <c r="G44" s="74"/>
      <c r="H44" s="47">
        <v>7</v>
      </c>
      <c r="I44" s="82">
        <f t="shared" si="5"/>
        <v>79</v>
      </c>
      <c r="J44" s="74"/>
      <c r="K44" s="75">
        <v>7</v>
      </c>
      <c r="L44" s="82">
        <f t="shared" si="6"/>
        <v>158</v>
      </c>
      <c r="M44" s="103">
        <f t="shared" si="7"/>
        <v>345</v>
      </c>
      <c r="N44" s="224">
        <v>5</v>
      </c>
      <c r="O44" s="1">
        <f t="shared" si="8"/>
        <v>85</v>
      </c>
      <c r="P44" s="84"/>
    </row>
    <row r="45" spans="1:16" ht="18.75">
      <c r="A45" s="14" t="s">
        <v>236</v>
      </c>
      <c r="B45" s="14" t="str">
        <f>VLOOKUP(A45,'дояры командная и база '!$A$4:$C89,2,FALSE)</f>
        <v>Королева Нина</v>
      </c>
      <c r="C45" s="14" t="str">
        <f>VLOOKUP(A45,'дояры командная и база '!$A$4:$C89,3,FALSE)</f>
        <v>Мокшанский</v>
      </c>
      <c r="D45" s="76"/>
      <c r="E45" s="47">
        <f>VLOOKUP(A45,'женщины дояры мех лыжи'!$A$7:$I$35,8,FALSE)</f>
        <v>3</v>
      </c>
      <c r="F45" s="47">
        <f>VLOOKUP(A45,'женщины дояры мех лыжи'!$A$7:$I43,9,FALSE)</f>
        <v>98</v>
      </c>
      <c r="G45" s="74"/>
      <c r="H45" s="47">
        <v>6</v>
      </c>
      <c r="I45" s="82">
        <f t="shared" si="5"/>
        <v>82</v>
      </c>
      <c r="J45" s="74"/>
      <c r="K45" s="75">
        <v>8</v>
      </c>
      <c r="L45" s="82">
        <f t="shared" si="6"/>
        <v>152</v>
      </c>
      <c r="M45" s="103">
        <f t="shared" si="7"/>
        <v>332</v>
      </c>
      <c r="N45" s="30">
        <v>6</v>
      </c>
      <c r="O45" s="1">
        <f t="shared" si="8"/>
        <v>82</v>
      </c>
      <c r="P45" s="84"/>
    </row>
    <row r="46" spans="1:16" ht="18.75">
      <c r="A46" s="14" t="s">
        <v>237</v>
      </c>
      <c r="B46" s="14" t="str">
        <f>VLOOKUP(A46,'дояры командная и база '!$A$4:$C88,2,FALSE)</f>
        <v>Мукаммадиева Б</v>
      </c>
      <c r="C46" s="14" t="str">
        <f>VLOOKUP(A46,'дояры командная и база '!$A$4:$C88,3,FALSE)</f>
        <v>Мокшанский</v>
      </c>
      <c r="D46" s="76"/>
      <c r="E46" s="47">
        <f>VLOOKUP(A46,'женщины дояры мех лыжи'!$A$7:$I$35,8,FALSE)</f>
        <v>11</v>
      </c>
      <c r="F46" s="47">
        <f>VLOOKUP(A46,'женщины дояры мех лыжи'!$A$7:$I42,9,FALSE)</f>
        <v>70</v>
      </c>
      <c r="G46" s="74"/>
      <c r="H46" s="47">
        <v>1</v>
      </c>
      <c r="I46" s="82">
        <f t="shared" si="5"/>
        <v>120</v>
      </c>
      <c r="J46" s="74"/>
      <c r="K46" s="75">
        <v>15</v>
      </c>
      <c r="L46" s="82">
        <f t="shared" si="6"/>
        <v>132</v>
      </c>
      <c r="M46" s="103">
        <f t="shared" si="7"/>
        <v>322</v>
      </c>
      <c r="N46" s="224">
        <v>7</v>
      </c>
      <c r="O46" s="1">
        <f t="shared" si="8"/>
        <v>79</v>
      </c>
      <c r="P46" s="84"/>
    </row>
    <row r="47" spans="1:16" ht="18.75">
      <c r="A47" s="14">
        <v>28</v>
      </c>
      <c r="B47" s="14" t="str">
        <f>VLOOKUP(A47,'дояры командная и база '!$A$4:$C83,2,FALSE)</f>
        <v>Талабаева Таисия</v>
      </c>
      <c r="C47" s="14" t="str">
        <f>VLOOKUP(A47,'дояры командная и база '!$A$4:$C83,3,FALSE)</f>
        <v>Лопатинский</v>
      </c>
      <c r="D47" s="76"/>
      <c r="E47" s="47">
        <f>VLOOKUP(A47,'женщины дояры мех лыжи'!$A$7:$I$35,8,FALSE)</f>
        <v>8</v>
      </c>
      <c r="F47" s="47">
        <f>VLOOKUP(A47,'женщины дояры мех лыжи'!$A$7:$I37,9,FALSE)</f>
        <v>76</v>
      </c>
      <c r="G47" s="74"/>
      <c r="H47" s="47">
        <v>2</v>
      </c>
      <c r="I47" s="82">
        <f t="shared" si="5"/>
        <v>108</v>
      </c>
      <c r="J47" s="74"/>
      <c r="K47" s="75">
        <v>13</v>
      </c>
      <c r="L47" s="82">
        <f t="shared" si="6"/>
        <v>136</v>
      </c>
      <c r="M47" s="103">
        <f t="shared" si="7"/>
        <v>320</v>
      </c>
      <c r="N47" s="30">
        <v>8</v>
      </c>
      <c r="O47" s="1">
        <f t="shared" si="8"/>
        <v>76</v>
      </c>
      <c r="P47" s="84"/>
    </row>
    <row r="48" spans="1:16" ht="18.75">
      <c r="A48" s="14">
        <v>26</v>
      </c>
      <c r="B48" s="14" t="str">
        <f>VLOOKUP(A48,'дояры командная и база '!$A$4:$C92,2,FALSE)</f>
        <v>Медведева Наталья</v>
      </c>
      <c r="C48" s="14" t="str">
        <f>VLOOKUP(A48,'дояры командная и база '!$A$4:$C92,3,FALSE)</f>
        <v>Тамалинский</v>
      </c>
      <c r="D48" s="76"/>
      <c r="E48" s="225">
        <f>VLOOKUP(A48,'женщины дояры мех лыжи'!$A$7:$I$35,8,FALSE)</f>
        <v>7</v>
      </c>
      <c r="F48" s="47">
        <f>VLOOKUP(A48,'женщины дояры мех лыжи'!$A$7:$I46,9,FALSE)</f>
        <v>79</v>
      </c>
      <c r="G48" s="74"/>
      <c r="H48" s="47">
        <v>4</v>
      </c>
      <c r="I48" s="82">
        <f t="shared" si="5"/>
        <v>90</v>
      </c>
      <c r="J48" s="74"/>
      <c r="K48" s="75">
        <v>9</v>
      </c>
      <c r="L48" s="82">
        <f t="shared" si="6"/>
        <v>148</v>
      </c>
      <c r="M48" s="103">
        <f t="shared" si="7"/>
        <v>317</v>
      </c>
      <c r="N48" s="224">
        <v>9</v>
      </c>
      <c r="O48" s="1">
        <f t="shared" si="8"/>
        <v>74</v>
      </c>
      <c r="P48" s="84"/>
    </row>
    <row r="49" spans="1:16" ht="18.75">
      <c r="A49" s="14">
        <v>14</v>
      </c>
      <c r="B49" s="14" t="str">
        <f>VLOOKUP(A49,'дояры командная и база '!$A$4:$C93,2,FALSE)</f>
        <v>Фектистова Марина</v>
      </c>
      <c r="C49" s="14" t="str">
        <f>VLOOKUP(A49,'дояры командная и база '!$A$4:$C93,3,FALSE)</f>
        <v>Камешкирский</v>
      </c>
      <c r="D49" s="76"/>
      <c r="E49" s="225">
        <f>VLOOKUP(A49,'женщины дояры мех лыжи'!$A$7:$I$35,8,FALSE)</f>
        <v>9</v>
      </c>
      <c r="F49" s="47">
        <f>VLOOKUP(A49,'женщины дояры мех лыжи'!$A$7:$I47,9,FALSE)</f>
        <v>74</v>
      </c>
      <c r="G49" s="74"/>
      <c r="H49" s="47">
        <v>3</v>
      </c>
      <c r="I49" s="82">
        <f t="shared" si="5"/>
        <v>98</v>
      </c>
      <c r="J49" s="74"/>
      <c r="K49" s="75">
        <v>14</v>
      </c>
      <c r="L49" s="82">
        <f t="shared" si="6"/>
        <v>134</v>
      </c>
      <c r="M49" s="103">
        <f t="shared" si="7"/>
        <v>306</v>
      </c>
      <c r="N49" s="30">
        <v>10</v>
      </c>
      <c r="O49" s="1">
        <f t="shared" si="8"/>
        <v>72</v>
      </c>
      <c r="P49" s="84"/>
    </row>
    <row r="50" spans="1:16" ht="18.75" hidden="1">
      <c r="A50" s="14"/>
      <c r="B50" s="14" t="e">
        <f>VLOOKUP(A50,'дояры командная и база '!$A$4:$C91,2,FALSE)</f>
        <v>#N/A</v>
      </c>
      <c r="C50" s="14" t="e">
        <f>VLOOKUP(A50,'дояры командная и база '!$A$4:$C91,3,FALSE)</f>
        <v>#N/A</v>
      </c>
      <c r="D50" s="76"/>
      <c r="E50" s="47" t="e">
        <f>VLOOKUP(A50,'женщины дояры мех лыжи'!$A$7:$I$35,8,FALSE)</f>
        <v>#N/A</v>
      </c>
      <c r="F50" s="47" t="e">
        <f>VLOOKUP(A50,'женщины дояры мех лыжи'!$A$7:$I45,9,FALSE)</f>
        <v>#N/A</v>
      </c>
      <c r="G50" s="74"/>
      <c r="H50" s="47"/>
      <c r="I50" s="82" t="e">
        <f t="shared" si="5"/>
        <v>#N/A</v>
      </c>
      <c r="J50" s="74"/>
      <c r="K50" s="75">
        <v>11</v>
      </c>
      <c r="L50" s="82">
        <f t="shared" si="6"/>
        <v>140</v>
      </c>
      <c r="M50" s="103" t="e">
        <f t="shared" si="7"/>
        <v>#N/A</v>
      </c>
      <c r="N50" s="224">
        <v>11</v>
      </c>
      <c r="O50" s="1">
        <f t="shared" si="8"/>
        <v>70</v>
      </c>
      <c r="P50" s="84"/>
    </row>
    <row r="51" spans="1:16" ht="18.75">
      <c r="A51" s="14">
        <v>17</v>
      </c>
      <c r="B51" s="14" t="str">
        <f>VLOOKUP(A51,'дояры командная и база '!$A$4:$C86,2,FALSE)</f>
        <v>Рассыпнова Дина</v>
      </c>
      <c r="C51" s="14" t="str">
        <f>VLOOKUP(A51,'дояры командная и база '!$A$4:$C86,3,FALSE)</f>
        <v>Бессоновский</v>
      </c>
      <c r="D51" s="76"/>
      <c r="E51" s="47">
        <f>VLOOKUP(A51,'женщины дояры мех лыжи'!$A$7:$I$35,8,FALSE)</f>
        <v>6</v>
      </c>
      <c r="F51" s="47">
        <f>VLOOKUP(A51,'женщины дояры мех лыжи'!$A$7:$I40,9,FALSE)</f>
        <v>82</v>
      </c>
      <c r="G51" s="74"/>
      <c r="H51" s="47">
        <v>9</v>
      </c>
      <c r="I51" s="82">
        <f t="shared" si="5"/>
        <v>74</v>
      </c>
      <c r="J51" s="74"/>
      <c r="K51" s="75">
        <v>12</v>
      </c>
      <c r="L51" s="82">
        <f t="shared" si="6"/>
        <v>138</v>
      </c>
      <c r="M51" s="103">
        <f t="shared" si="7"/>
        <v>294</v>
      </c>
      <c r="N51" s="30">
        <v>12</v>
      </c>
      <c r="O51" s="1">
        <f t="shared" si="8"/>
        <v>69</v>
      </c>
      <c r="P51" s="84"/>
    </row>
    <row r="52" spans="1:16" ht="18.75">
      <c r="A52" s="14">
        <v>186</v>
      </c>
      <c r="B52" s="14" t="str">
        <f>VLOOKUP(A52,'дояры командная и база '!$A$4:$C90,2,FALSE)</f>
        <v>Расческова Светлана</v>
      </c>
      <c r="C52" s="14" t="str">
        <f>VLOOKUP(A52,'дояры командная и база '!$A$4:$C90,3,FALSE)</f>
        <v>Пензенский</v>
      </c>
      <c r="D52" s="76"/>
      <c r="E52" s="47">
        <v>0</v>
      </c>
      <c r="F52" s="47">
        <v>0</v>
      </c>
      <c r="G52" s="74"/>
      <c r="H52" s="47">
        <v>11</v>
      </c>
      <c r="I52" s="82">
        <f t="shared" si="5"/>
        <v>70</v>
      </c>
      <c r="J52" s="74"/>
      <c r="K52" s="75">
        <v>6</v>
      </c>
      <c r="L52" s="82">
        <f t="shared" si="6"/>
        <v>164</v>
      </c>
      <c r="M52" s="103">
        <f t="shared" si="7"/>
        <v>234</v>
      </c>
      <c r="N52" s="224">
        <v>13</v>
      </c>
      <c r="O52" s="1">
        <f t="shared" si="8"/>
        <v>68</v>
      </c>
      <c r="P52" s="84"/>
    </row>
    <row r="53" spans="1:16" ht="18.75">
      <c r="A53" s="14">
        <v>7</v>
      </c>
      <c r="B53" s="14" t="str">
        <f>VLOOKUP(A53,'дояры командная и база '!$A$4:$C81,2,FALSE)</f>
        <v>Махова Елена</v>
      </c>
      <c r="C53" s="14" t="str">
        <f>VLOOKUP(A53,'дояры командная и база '!$A$4:$C81,3,FALSE)</f>
        <v>Наровчатский</v>
      </c>
      <c r="D53" s="76"/>
      <c r="E53" s="47">
        <f>VLOOKUP(A53,'женщины дояры мех лыжи'!$A$7:$I$35,8,FALSE)</f>
        <v>10</v>
      </c>
      <c r="F53" s="47">
        <f>VLOOKUP(A53,'женщины дояры мех лыжи'!$A$7:$I35,9,FALSE)</f>
        <v>72</v>
      </c>
      <c r="G53" s="74"/>
      <c r="H53" s="47"/>
      <c r="I53" s="82">
        <v>0</v>
      </c>
      <c r="J53" s="74"/>
      <c r="K53" s="75">
        <v>10</v>
      </c>
      <c r="L53" s="82">
        <f t="shared" si="6"/>
        <v>144</v>
      </c>
      <c r="M53" s="103">
        <f t="shared" si="7"/>
        <v>216</v>
      </c>
      <c r="N53" s="30">
        <v>14</v>
      </c>
      <c r="O53" s="1">
        <f t="shared" si="8"/>
        <v>67</v>
      </c>
      <c r="P53" s="84"/>
    </row>
    <row r="54" spans="1:16" ht="18.75">
      <c r="A54" s="14">
        <v>182</v>
      </c>
      <c r="B54" s="14" t="str">
        <f>VLOOKUP(A54,'дояры командная и база '!$A$4:$C87,2,FALSE)</f>
        <v>Танцерева Наталья</v>
      </c>
      <c r="C54" s="14" t="str">
        <f>VLOOKUP(A54,'дояры командная и база '!$A$4:$C87,3,FALSE)</f>
        <v>Каменский</v>
      </c>
      <c r="D54" s="76"/>
      <c r="E54" s="47">
        <v>0</v>
      </c>
      <c r="F54" s="47">
        <v>0</v>
      </c>
      <c r="G54" s="74"/>
      <c r="H54" s="47"/>
      <c r="I54" s="82">
        <v>0</v>
      </c>
      <c r="J54" s="74"/>
      <c r="K54" s="75">
        <v>3</v>
      </c>
      <c r="L54" s="82">
        <f t="shared" si="6"/>
        <v>196</v>
      </c>
      <c r="M54" s="103">
        <f t="shared" si="7"/>
        <v>196</v>
      </c>
      <c r="N54" s="224">
        <v>15</v>
      </c>
      <c r="O54" s="1">
        <f t="shared" si="8"/>
        <v>66</v>
      </c>
      <c r="P54" s="84"/>
    </row>
  </sheetData>
  <sheetProtection/>
  <mergeCells count="5">
    <mergeCell ref="O3:O4"/>
    <mergeCell ref="D3:F3"/>
    <mergeCell ref="B2:N2"/>
    <mergeCell ref="G3:I3"/>
    <mergeCell ref="J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34"/>
  <sheetViews>
    <sheetView view="pageBreakPreview" zoomScaleSheetLayoutView="10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2" max="2" width="6.421875" style="0" customWidth="1"/>
    <col min="3" max="3" width="33.140625" style="0" customWidth="1"/>
    <col min="4" max="4" width="22.140625" style="0" customWidth="1"/>
    <col min="5" max="5" width="8.7109375" style="0" customWidth="1"/>
    <col min="6" max="6" width="8.00390625" style="0" customWidth="1"/>
    <col min="7" max="7" width="9.421875" style="0" customWidth="1"/>
    <col min="8" max="8" width="8.140625" style="0" customWidth="1"/>
  </cols>
  <sheetData>
    <row r="1" spans="1:89" ht="30.75" customHeight="1" thickBot="1">
      <c r="A1" s="306" t="s">
        <v>92</v>
      </c>
      <c r="B1" s="306"/>
      <c r="C1" s="306"/>
      <c r="D1" s="306"/>
      <c r="E1" s="306"/>
      <c r="F1" s="306"/>
      <c r="G1" s="306"/>
      <c r="H1" s="306"/>
      <c r="J1" s="28">
        <v>1</v>
      </c>
      <c r="K1" s="28">
        <v>2</v>
      </c>
      <c r="L1" s="28">
        <v>3</v>
      </c>
      <c r="M1" s="28">
        <v>4</v>
      </c>
      <c r="N1" s="28">
        <v>5</v>
      </c>
      <c r="O1" s="28">
        <v>6</v>
      </c>
      <c r="P1" s="28">
        <v>7</v>
      </c>
      <c r="Q1" s="28">
        <v>8</v>
      </c>
      <c r="R1" s="28">
        <v>9</v>
      </c>
      <c r="S1" s="28">
        <v>10</v>
      </c>
      <c r="T1" s="28">
        <v>11</v>
      </c>
      <c r="U1" s="28">
        <v>12</v>
      </c>
      <c r="V1" s="28">
        <v>13</v>
      </c>
      <c r="W1" s="28">
        <v>14</v>
      </c>
      <c r="X1" s="28">
        <v>15</v>
      </c>
      <c r="Y1" s="28">
        <v>16</v>
      </c>
      <c r="Z1" s="28">
        <v>17</v>
      </c>
      <c r="AA1" s="28">
        <v>18</v>
      </c>
      <c r="AB1" s="28">
        <v>19</v>
      </c>
      <c r="AC1" s="28">
        <v>20</v>
      </c>
      <c r="AD1" s="28">
        <v>21</v>
      </c>
      <c r="AE1" s="28">
        <v>22</v>
      </c>
      <c r="AF1" s="28">
        <v>23</v>
      </c>
      <c r="AG1" s="28">
        <v>24</v>
      </c>
      <c r="AH1" s="28">
        <v>25</v>
      </c>
      <c r="AI1" s="28">
        <v>26</v>
      </c>
      <c r="AJ1" s="28">
        <v>27</v>
      </c>
      <c r="AK1" s="28">
        <v>28</v>
      </c>
      <c r="AL1" s="28">
        <v>29</v>
      </c>
      <c r="AM1" s="28">
        <v>30</v>
      </c>
      <c r="AN1" s="28">
        <v>31</v>
      </c>
      <c r="AO1" s="28">
        <v>32</v>
      </c>
      <c r="AP1" s="28">
        <v>33</v>
      </c>
      <c r="AQ1" s="28">
        <v>34</v>
      </c>
      <c r="AR1" s="28">
        <v>35</v>
      </c>
      <c r="AS1" s="28">
        <v>36</v>
      </c>
      <c r="AT1" s="28">
        <v>37</v>
      </c>
      <c r="AU1" s="28">
        <v>38</v>
      </c>
      <c r="AV1" s="28">
        <v>39</v>
      </c>
      <c r="AW1" s="28">
        <v>40</v>
      </c>
      <c r="AX1" s="28">
        <v>41</v>
      </c>
      <c r="AY1" s="28">
        <v>42</v>
      </c>
      <c r="AZ1" s="28">
        <v>43</v>
      </c>
      <c r="BA1" s="28">
        <v>44</v>
      </c>
      <c r="BB1" s="28">
        <v>45</v>
      </c>
      <c r="BC1" s="28">
        <v>46</v>
      </c>
      <c r="BD1" s="28">
        <v>47</v>
      </c>
      <c r="BE1" s="28">
        <v>48</v>
      </c>
      <c r="BF1" s="28">
        <v>49</v>
      </c>
      <c r="BG1" s="28">
        <v>50</v>
      </c>
      <c r="BH1" s="28">
        <v>51</v>
      </c>
      <c r="BI1" s="28">
        <v>52</v>
      </c>
      <c r="BJ1" s="28">
        <v>53</v>
      </c>
      <c r="BK1" s="28">
        <v>54</v>
      </c>
      <c r="BL1" s="28">
        <v>55</v>
      </c>
      <c r="BM1" s="28">
        <v>56</v>
      </c>
      <c r="BN1" s="28">
        <v>57</v>
      </c>
      <c r="BO1" s="28">
        <v>58</v>
      </c>
      <c r="BP1" s="28">
        <v>59</v>
      </c>
      <c r="BQ1" s="28">
        <v>60</v>
      </c>
      <c r="BR1" s="28">
        <v>61</v>
      </c>
      <c r="BS1" s="28">
        <v>62</v>
      </c>
      <c r="BT1" s="28">
        <v>63</v>
      </c>
      <c r="BU1" s="28">
        <v>64</v>
      </c>
      <c r="BV1" s="28">
        <v>65</v>
      </c>
      <c r="BW1" s="28">
        <v>66</v>
      </c>
      <c r="BX1" s="28">
        <v>67</v>
      </c>
      <c r="BY1" s="28">
        <v>68</v>
      </c>
      <c r="BZ1" s="28">
        <v>69</v>
      </c>
      <c r="CA1" s="28">
        <v>70</v>
      </c>
      <c r="CB1" s="28">
        <v>71</v>
      </c>
      <c r="CC1" s="28">
        <v>72</v>
      </c>
      <c r="CD1" s="28">
        <v>73</v>
      </c>
      <c r="CE1" s="28">
        <v>74</v>
      </c>
      <c r="CF1" s="28">
        <v>75</v>
      </c>
      <c r="CG1" s="28">
        <v>76</v>
      </c>
      <c r="CH1" s="28">
        <v>77</v>
      </c>
      <c r="CI1" s="28">
        <v>78</v>
      </c>
      <c r="CJ1" s="28">
        <v>79</v>
      </c>
      <c r="CK1" s="28">
        <v>80</v>
      </c>
    </row>
    <row r="2" spans="10:89" ht="13.5" customHeight="1" thickBot="1">
      <c r="J2" s="28">
        <v>120</v>
      </c>
      <c r="K2" s="28">
        <v>108</v>
      </c>
      <c r="L2" s="28">
        <v>98</v>
      </c>
      <c r="M2" s="28">
        <v>90</v>
      </c>
      <c r="N2" s="28">
        <v>85</v>
      </c>
      <c r="O2" s="28">
        <v>82</v>
      </c>
      <c r="P2" s="28">
        <v>79</v>
      </c>
      <c r="Q2" s="28">
        <v>76</v>
      </c>
      <c r="R2" s="28">
        <v>74</v>
      </c>
      <c r="S2" s="28">
        <v>72</v>
      </c>
      <c r="T2" s="28">
        <v>70</v>
      </c>
      <c r="U2" s="28">
        <v>69</v>
      </c>
      <c r="V2" s="28">
        <v>68</v>
      </c>
      <c r="W2" s="28">
        <v>67</v>
      </c>
      <c r="X2" s="28">
        <v>66</v>
      </c>
      <c r="Y2" s="28">
        <v>65</v>
      </c>
      <c r="Z2" s="28">
        <v>64</v>
      </c>
      <c r="AA2" s="28">
        <v>63</v>
      </c>
      <c r="AB2" s="28">
        <v>62</v>
      </c>
      <c r="AC2" s="28">
        <v>61</v>
      </c>
      <c r="AD2" s="28">
        <v>60</v>
      </c>
      <c r="AE2" s="28">
        <v>59</v>
      </c>
      <c r="AF2" s="28">
        <v>58</v>
      </c>
      <c r="AG2" s="28">
        <v>57</v>
      </c>
      <c r="AH2" s="28">
        <v>56</v>
      </c>
      <c r="AI2" s="28">
        <v>55</v>
      </c>
      <c r="AJ2" s="28">
        <v>54</v>
      </c>
      <c r="AK2" s="28">
        <v>53</v>
      </c>
      <c r="AL2" s="28">
        <v>52</v>
      </c>
      <c r="AM2" s="28">
        <v>51</v>
      </c>
      <c r="AN2" s="28">
        <v>50</v>
      </c>
      <c r="AO2" s="28">
        <v>49</v>
      </c>
      <c r="AP2" s="28">
        <v>48</v>
      </c>
      <c r="AQ2" s="28">
        <v>47</v>
      </c>
      <c r="AR2" s="28">
        <v>46</v>
      </c>
      <c r="AS2" s="28">
        <v>45</v>
      </c>
      <c r="AT2" s="28">
        <v>44</v>
      </c>
      <c r="AU2" s="28">
        <v>43</v>
      </c>
      <c r="AV2" s="28">
        <v>42</v>
      </c>
      <c r="AW2" s="28">
        <v>41</v>
      </c>
      <c r="AX2" s="28">
        <v>40</v>
      </c>
      <c r="AY2" s="28">
        <v>39</v>
      </c>
      <c r="AZ2" s="28">
        <v>38</v>
      </c>
      <c r="BA2" s="28">
        <v>37</v>
      </c>
      <c r="BB2" s="28">
        <v>36</v>
      </c>
      <c r="BC2" s="28">
        <v>35</v>
      </c>
      <c r="BD2" s="28">
        <v>34</v>
      </c>
      <c r="BE2" s="28">
        <v>33</v>
      </c>
      <c r="BF2" s="28">
        <v>32</v>
      </c>
      <c r="BG2" s="28">
        <v>31</v>
      </c>
      <c r="BH2" s="28">
        <v>30</v>
      </c>
      <c r="BI2" s="28">
        <v>29</v>
      </c>
      <c r="BJ2" s="28">
        <v>28</v>
      </c>
      <c r="BK2" s="28">
        <v>27</v>
      </c>
      <c r="BL2" s="28">
        <v>26</v>
      </c>
      <c r="BM2" s="28">
        <v>25</v>
      </c>
      <c r="BN2" s="28">
        <v>24</v>
      </c>
      <c r="BO2" s="28">
        <v>23</v>
      </c>
      <c r="BP2" s="28">
        <v>22</v>
      </c>
      <c r="BQ2" s="28">
        <v>21</v>
      </c>
      <c r="BR2" s="28">
        <v>20</v>
      </c>
      <c r="BS2" s="28">
        <v>19</v>
      </c>
      <c r="BT2" s="28">
        <v>18</v>
      </c>
      <c r="BU2" s="28">
        <v>17</v>
      </c>
      <c r="BV2" s="28">
        <v>16</v>
      </c>
      <c r="BW2" s="28">
        <v>15</v>
      </c>
      <c r="BX2" s="28">
        <v>14</v>
      </c>
      <c r="BY2" s="28">
        <v>13</v>
      </c>
      <c r="BZ2" s="28">
        <v>12</v>
      </c>
      <c r="CA2" s="28">
        <v>11</v>
      </c>
      <c r="CB2" s="28">
        <v>10</v>
      </c>
      <c r="CC2" s="28">
        <v>9</v>
      </c>
      <c r="CD2" s="28">
        <v>8</v>
      </c>
      <c r="CE2" s="28">
        <v>7</v>
      </c>
      <c r="CF2" s="28">
        <v>6</v>
      </c>
      <c r="CG2" s="28">
        <v>5</v>
      </c>
      <c r="CH2" s="28">
        <v>4</v>
      </c>
      <c r="CI2" s="28">
        <v>3</v>
      </c>
      <c r="CJ2" s="28">
        <v>2</v>
      </c>
      <c r="CK2" s="28">
        <v>1</v>
      </c>
    </row>
    <row r="3" spans="1:8" ht="29.25" customHeight="1">
      <c r="A3" s="307" t="s">
        <v>330</v>
      </c>
      <c r="B3" s="307"/>
      <c r="C3" s="307"/>
      <c r="D3" s="307"/>
      <c r="E3" s="307"/>
      <c r="F3" s="307"/>
      <c r="G3" s="307"/>
      <c r="H3" s="307"/>
    </row>
    <row r="4" spans="1:6" ht="24.75" customHeight="1" thickBot="1">
      <c r="A4" s="38" t="s">
        <v>65</v>
      </c>
      <c r="B4" s="38"/>
      <c r="C4" s="325" t="s">
        <v>93</v>
      </c>
      <c r="D4" s="325"/>
      <c r="E4" s="334">
        <v>42035</v>
      </c>
      <c r="F4" s="334"/>
    </row>
    <row r="5" spans="1:9" ht="29.25" customHeight="1" thickBot="1">
      <c r="A5" s="78" t="s">
        <v>66</v>
      </c>
      <c r="B5" s="79" t="s">
        <v>12</v>
      </c>
      <c r="C5" s="80" t="s">
        <v>67</v>
      </c>
      <c r="D5" s="80" t="s">
        <v>6</v>
      </c>
      <c r="E5" s="79" t="s">
        <v>96</v>
      </c>
      <c r="F5" s="79" t="s">
        <v>97</v>
      </c>
      <c r="G5" s="193" t="s">
        <v>13</v>
      </c>
      <c r="H5" s="193" t="s">
        <v>14</v>
      </c>
      <c r="I5" s="193" t="s">
        <v>1</v>
      </c>
    </row>
    <row r="6" spans="1:9" ht="15" customHeight="1">
      <c r="A6" s="212"/>
      <c r="B6" s="90"/>
      <c r="C6" s="192" t="s">
        <v>94</v>
      </c>
      <c r="D6" s="89"/>
      <c r="E6" s="87"/>
      <c r="F6" s="87"/>
      <c r="G6" s="87"/>
      <c r="H6" s="87"/>
      <c r="I6" s="42"/>
    </row>
    <row r="7" spans="1:9" ht="15" customHeight="1">
      <c r="A7" s="15">
        <v>18</v>
      </c>
      <c r="B7" s="213"/>
      <c r="C7" s="189" t="str">
        <f>VLOOKUP(A7,'лич дояры'!$A$6:$C167,2,FALSE)</f>
        <v>Волкова Кристина</v>
      </c>
      <c r="D7" s="189" t="str">
        <f>VLOOKUP(A7,'лич дояры'!$A$6:$C167,3,FALSE)</f>
        <v>Сердобский</v>
      </c>
      <c r="E7" s="186">
        <v>0.0035648148148148154</v>
      </c>
      <c r="F7" s="185">
        <v>0.0006944444444444445</v>
      </c>
      <c r="G7" s="186">
        <f aca="true" t="shared" si="0" ref="G7:G17">E7-F7</f>
        <v>0.002870370370370371</v>
      </c>
      <c r="H7" s="3">
        <v>1</v>
      </c>
      <c r="I7" s="2">
        <f>LOOKUP(H7,$J$1:$CK$1,$J$2:$CK$2)</f>
        <v>120</v>
      </c>
    </row>
    <row r="8" spans="1:9" ht="15.75">
      <c r="A8" s="15">
        <v>16</v>
      </c>
      <c r="B8" s="276"/>
      <c r="C8" s="189" t="str">
        <f>VLOOKUP(A8,'лич дояры'!$A$6:$C170,2,FALSE)</f>
        <v>Юдина Татьяна</v>
      </c>
      <c r="D8" s="189" t="str">
        <f>VLOOKUP(A8,'лич дояры'!$A$6:$C170,3,FALSE)</f>
        <v>Бессоновский</v>
      </c>
      <c r="E8" s="186">
        <v>0.004398148148148148</v>
      </c>
      <c r="F8" s="185">
        <v>0.00138888888888889</v>
      </c>
      <c r="G8" s="186">
        <f t="shared" si="0"/>
        <v>0.0030092592592592584</v>
      </c>
      <c r="H8" s="3">
        <v>2</v>
      </c>
      <c r="I8" s="2">
        <f aca="true" t="shared" si="1" ref="I8:I13">LOOKUP(H8,$J$1:$CK$1,$J$2:$CK$2)</f>
        <v>108</v>
      </c>
    </row>
    <row r="9" spans="1:9" ht="15.75">
      <c r="A9" s="15" t="s">
        <v>236</v>
      </c>
      <c r="B9" s="187"/>
      <c r="C9" s="189" t="str">
        <f>VLOOKUP(A9,'лич дояры'!$A$6:$C174,2,FALSE)</f>
        <v>Королева Нина</v>
      </c>
      <c r="D9" s="189" t="str">
        <f>VLOOKUP(A9,'лич дояры'!$A$6:$C174,3,FALSE)</f>
        <v>Мокшанский</v>
      </c>
      <c r="E9" s="186">
        <v>0.00587962962962963</v>
      </c>
      <c r="F9" s="185">
        <v>0.00277777777777778</v>
      </c>
      <c r="G9" s="186">
        <f t="shared" si="0"/>
        <v>0.0031018518518518496</v>
      </c>
      <c r="H9" s="3">
        <v>3</v>
      </c>
      <c r="I9" s="2">
        <f t="shared" si="1"/>
        <v>98</v>
      </c>
    </row>
    <row r="10" spans="1:9" ht="15.75">
      <c r="A10" s="275" t="s">
        <v>300</v>
      </c>
      <c r="B10" s="276"/>
      <c r="C10" s="189" t="str">
        <f>VLOOKUP(A10,'лич дояры'!$A$6:$C180,2,FALSE)</f>
        <v>Антошкина Татьяна</v>
      </c>
      <c r="D10" s="189" t="str">
        <f>VLOOKUP(A10,'лич дояры'!$A$6:$C180,3,FALSE)</f>
        <v>Шемышейский</v>
      </c>
      <c r="E10" s="235">
        <v>0.007719907407407408</v>
      </c>
      <c r="F10" s="185">
        <v>0.00451388888888889</v>
      </c>
      <c r="G10" s="186">
        <f t="shared" si="0"/>
        <v>0.0032060185185185178</v>
      </c>
      <c r="H10" s="3">
        <v>4</v>
      </c>
      <c r="I10" s="2">
        <f t="shared" si="1"/>
        <v>90</v>
      </c>
    </row>
    <row r="11" spans="1:9" ht="15.75">
      <c r="A11" s="275" t="s">
        <v>301</v>
      </c>
      <c r="B11" s="188"/>
      <c r="C11" s="189" t="str">
        <f>VLOOKUP(A11,'лич дояры'!$A$6:$C179,2,FALSE)</f>
        <v>Семашкина Татьяна</v>
      </c>
      <c r="D11" s="189" t="str">
        <f>VLOOKUP(A11,'лич дояры'!$A$6:$C179,3,FALSE)</f>
        <v>Шемышейский</v>
      </c>
      <c r="E11" s="235">
        <v>0.007673611111111111</v>
      </c>
      <c r="F11" s="185">
        <v>0.004166666666666667</v>
      </c>
      <c r="G11" s="186">
        <f t="shared" si="0"/>
        <v>0.0035069444444444445</v>
      </c>
      <c r="H11" s="3">
        <v>5</v>
      </c>
      <c r="I11" s="2">
        <f t="shared" si="1"/>
        <v>85</v>
      </c>
    </row>
    <row r="12" spans="1:9" ht="15.75">
      <c r="A12" s="15">
        <v>17</v>
      </c>
      <c r="B12" s="213"/>
      <c r="C12" s="189" t="str">
        <f>VLOOKUP(A12,'лич дояры'!$A$6:$C171,2,FALSE)</f>
        <v>Рассыпнова Дина</v>
      </c>
      <c r="D12" s="189" t="str">
        <f>VLOOKUP(A12,'лич дояры'!$A$6:$C171,3,FALSE)</f>
        <v>Бессоновский</v>
      </c>
      <c r="E12" s="186">
        <v>0.005324074074074075</v>
      </c>
      <c r="F12" s="185">
        <v>0.00173611111111111</v>
      </c>
      <c r="G12" s="186">
        <f t="shared" si="0"/>
        <v>0.0035879629629629647</v>
      </c>
      <c r="H12" s="3">
        <v>6</v>
      </c>
      <c r="I12" s="2">
        <f t="shared" si="1"/>
        <v>82</v>
      </c>
    </row>
    <row r="13" spans="1:9" ht="15.75">
      <c r="A13" s="15">
        <v>26</v>
      </c>
      <c r="B13" s="188"/>
      <c r="C13" s="189" t="str">
        <f>VLOOKUP(A13,'лич дояры'!$A$6:$C177,2,FALSE)</f>
        <v>Медведева Наталья</v>
      </c>
      <c r="D13" s="189" t="str">
        <f>VLOOKUP(A13,'лич дояры'!$A$6:$C177,3,FALSE)</f>
        <v>Тамалинский</v>
      </c>
      <c r="E13" s="186">
        <v>0.007083333333333333</v>
      </c>
      <c r="F13" s="185">
        <v>0.00347222222222222</v>
      </c>
      <c r="G13" s="186">
        <f t="shared" si="0"/>
        <v>0.003611111111111113</v>
      </c>
      <c r="H13" s="3">
        <v>7</v>
      </c>
      <c r="I13" s="2">
        <f t="shared" si="1"/>
        <v>79</v>
      </c>
    </row>
    <row r="14" spans="1:9" ht="15.75">
      <c r="A14" s="88">
        <v>28</v>
      </c>
      <c r="B14" s="213"/>
      <c r="C14" s="189" t="str">
        <f>VLOOKUP(A14,'лич дояры'!$A$6:$C181,2,FALSE)</f>
        <v>Талабаева Таисия</v>
      </c>
      <c r="D14" s="189" t="str">
        <f>VLOOKUP(A14,'лич дояры'!$A$6:$C181,3,FALSE)</f>
        <v>Лопатинский</v>
      </c>
      <c r="E14" s="234">
        <v>0.009502314814814816</v>
      </c>
      <c r="F14" s="185">
        <v>0.00486111111111111</v>
      </c>
      <c r="G14" s="186">
        <f t="shared" si="0"/>
        <v>0.0046412037037037055</v>
      </c>
      <c r="H14" s="3">
        <v>8</v>
      </c>
      <c r="I14" s="2">
        <f>LOOKUP(H14,$J$1:$CK$1,$J$2:$CK$2)</f>
        <v>76</v>
      </c>
    </row>
    <row r="15" spans="1:9" ht="15.75">
      <c r="A15" s="88">
        <v>14</v>
      </c>
      <c r="B15" s="276"/>
      <c r="C15" s="189" t="str">
        <f>VLOOKUP(A15,'лич дояры'!$A$6:$C178,2,FALSE)</f>
        <v>Фектистова Марина</v>
      </c>
      <c r="D15" s="189" t="str">
        <f>VLOOKUP(A15,'лич дояры'!$A$6:$C178,3,FALSE)</f>
        <v>Камешкирский</v>
      </c>
      <c r="E15" s="234">
        <v>0.008912037037037038</v>
      </c>
      <c r="F15" s="185">
        <v>0.0038194444444444443</v>
      </c>
      <c r="G15" s="186">
        <f t="shared" si="0"/>
        <v>0.005092592592592593</v>
      </c>
      <c r="H15" s="3">
        <v>9</v>
      </c>
      <c r="I15" s="2">
        <f>LOOKUP(H15,$J$1:$CK$1,$J$2:$CK$2)</f>
        <v>74</v>
      </c>
    </row>
    <row r="16" spans="1:9" ht="15.75">
      <c r="A16" s="226">
        <v>7</v>
      </c>
      <c r="B16" s="187"/>
      <c r="C16" s="189" t="str">
        <f>VLOOKUP(A16,'лич дояры'!$A$6:$C166,2,FALSE)</f>
        <v>Махова Елена</v>
      </c>
      <c r="D16" s="189" t="str">
        <f>VLOOKUP(A16,'лич дояры'!$A$6:$C166,3,FALSE)</f>
        <v>Наровчатский</v>
      </c>
      <c r="E16" s="205">
        <v>0.005671296296296296</v>
      </c>
      <c r="F16" s="185">
        <v>0.00034722222222222224</v>
      </c>
      <c r="G16" s="186">
        <f t="shared" si="0"/>
        <v>0.005324074074074074</v>
      </c>
      <c r="H16" s="3">
        <v>10</v>
      </c>
      <c r="I16" s="2">
        <f>LOOKUP(H16,$J$1:$CK$1,$J$2:$CK$2)</f>
        <v>72</v>
      </c>
    </row>
    <row r="17" spans="1:9" ht="15.75">
      <c r="A17" s="226" t="s">
        <v>237</v>
      </c>
      <c r="B17" s="188"/>
      <c r="C17" s="189" t="str">
        <f>VLOOKUP(A17,'лич дояры'!$A$6:$C173,2,FALSE)</f>
        <v>Мукаммадиева Б</v>
      </c>
      <c r="D17" s="189" t="str">
        <f>VLOOKUP(A17,'лич дояры'!$A$6:$C173,3,FALSE)</f>
        <v>Мокшанский</v>
      </c>
      <c r="E17" s="205">
        <v>0.008553240740740741</v>
      </c>
      <c r="F17" s="185">
        <v>0.00243055555555555</v>
      </c>
      <c r="G17" s="186">
        <f t="shared" si="0"/>
        <v>0.006122685185185191</v>
      </c>
      <c r="H17" s="3">
        <v>11</v>
      </c>
      <c r="I17" s="2">
        <f>LOOKUP(H17,$J$1:$CK$1,$J$2:$CK$2)</f>
        <v>70</v>
      </c>
    </row>
    <row r="18" spans="1:9" ht="15.75">
      <c r="A18" s="88"/>
      <c r="B18" s="187"/>
      <c r="C18" s="189"/>
      <c r="D18" s="189"/>
      <c r="E18" s="1"/>
      <c r="F18" s="185"/>
      <c r="G18" s="186"/>
      <c r="H18" s="3"/>
      <c r="I18" s="2"/>
    </row>
    <row r="19" spans="1:9" ht="15">
      <c r="A19" s="2"/>
      <c r="B19" s="188"/>
      <c r="C19" s="17"/>
      <c r="D19" s="1"/>
      <c r="E19" s="1"/>
      <c r="F19" s="185"/>
      <c r="G19" s="186"/>
      <c r="H19" s="3"/>
      <c r="I19" s="2"/>
    </row>
    <row r="20" spans="1:9" ht="15">
      <c r="A20" s="2"/>
      <c r="B20" s="187"/>
      <c r="C20" s="17"/>
      <c r="D20" s="1"/>
      <c r="E20" s="1"/>
      <c r="F20" s="185"/>
      <c r="G20" s="186"/>
      <c r="H20" s="3"/>
      <c r="I20" s="2"/>
    </row>
    <row r="21" spans="1:9" ht="18.75">
      <c r="A21" s="2"/>
      <c r="B21" s="188"/>
      <c r="C21" s="191"/>
      <c r="D21" s="1"/>
      <c r="E21" s="1"/>
      <c r="F21" s="185"/>
      <c r="G21" s="186"/>
      <c r="H21" s="3"/>
      <c r="I21" s="2"/>
    </row>
    <row r="22" spans="1:9" ht="15">
      <c r="A22" s="2"/>
      <c r="B22" s="187"/>
      <c r="C22" s="17"/>
      <c r="D22" s="1"/>
      <c r="E22" s="1"/>
      <c r="F22" s="185"/>
      <c r="G22" s="186"/>
      <c r="H22" s="3"/>
      <c r="I22" s="2"/>
    </row>
    <row r="23" spans="1:9" ht="15.75">
      <c r="A23" s="2"/>
      <c r="B23" s="188"/>
      <c r="C23" s="189"/>
      <c r="D23" s="1"/>
      <c r="E23" s="1"/>
      <c r="F23" s="185"/>
      <c r="G23" s="186"/>
      <c r="H23" s="3"/>
      <c r="I23" s="2"/>
    </row>
    <row r="24" spans="1:9" ht="15">
      <c r="A24" s="2"/>
      <c r="B24" s="187"/>
      <c r="C24" s="17"/>
      <c r="D24" s="1"/>
      <c r="E24" s="1"/>
      <c r="F24" s="185"/>
      <c r="G24" s="186"/>
      <c r="H24" s="3"/>
      <c r="I24" s="2"/>
    </row>
    <row r="25" spans="1:9" ht="15">
      <c r="A25" s="2"/>
      <c r="B25" s="188"/>
      <c r="C25" s="17"/>
      <c r="D25" s="1"/>
      <c r="E25" s="1"/>
      <c r="F25" s="185"/>
      <c r="G25" s="186"/>
      <c r="H25" s="3"/>
      <c r="I25" s="2"/>
    </row>
    <row r="26" spans="1:9" ht="15">
      <c r="A26" s="2"/>
      <c r="B26" s="187"/>
      <c r="C26" s="17"/>
      <c r="D26" s="1"/>
      <c r="E26" s="1"/>
      <c r="F26" s="185"/>
      <c r="G26" s="186"/>
      <c r="H26" s="3"/>
      <c r="I26" s="2"/>
    </row>
    <row r="27" spans="1:9" ht="15">
      <c r="A27" s="2"/>
      <c r="B27" s="188"/>
      <c r="C27" s="17"/>
      <c r="D27" s="1"/>
      <c r="E27" s="1"/>
      <c r="F27" s="185"/>
      <c r="G27" s="186"/>
      <c r="H27" s="3"/>
      <c r="I27" s="2"/>
    </row>
    <row r="28" spans="1:9" ht="15">
      <c r="A28" s="2"/>
      <c r="B28" s="187"/>
      <c r="C28" s="17"/>
      <c r="D28" s="1"/>
      <c r="E28" s="1"/>
      <c r="F28" s="185"/>
      <c r="G28" s="186"/>
      <c r="H28" s="3"/>
      <c r="I28" s="2"/>
    </row>
    <row r="29" spans="1:9" ht="15">
      <c r="A29" s="2"/>
      <c r="B29" s="188"/>
      <c r="C29" s="190"/>
      <c r="D29" s="42"/>
      <c r="E29" s="1"/>
      <c r="F29" s="185"/>
      <c r="G29" s="186"/>
      <c r="H29" s="3"/>
      <c r="I29" s="2"/>
    </row>
    <row r="30" spans="1:9" ht="15">
      <c r="A30" s="2"/>
      <c r="B30" s="187"/>
      <c r="C30" s="190"/>
      <c r="D30" s="42"/>
      <c r="E30" s="1"/>
      <c r="F30" s="185"/>
      <c r="G30" s="186"/>
      <c r="H30" s="3"/>
      <c r="I30" s="2"/>
    </row>
    <row r="31" spans="1:9" ht="15">
      <c r="A31" s="2"/>
      <c r="B31" s="188"/>
      <c r="C31" s="190"/>
      <c r="D31" s="42"/>
      <c r="E31" s="1"/>
      <c r="F31" s="185"/>
      <c r="G31" s="186"/>
      <c r="H31" s="3"/>
      <c r="I31" s="2"/>
    </row>
    <row r="32" spans="1:9" ht="15">
      <c r="A32" s="2"/>
      <c r="B32" s="187"/>
      <c r="C32" s="190"/>
      <c r="D32" s="42"/>
      <c r="E32" s="1"/>
      <c r="F32" s="185"/>
      <c r="G32" s="186"/>
      <c r="H32" s="3"/>
      <c r="I32" s="2"/>
    </row>
    <row r="33" spans="1:9" ht="15">
      <c r="A33" s="2"/>
      <c r="B33" s="188"/>
      <c r="C33" s="190"/>
      <c r="D33" s="42"/>
      <c r="E33" s="1"/>
      <c r="F33" s="185"/>
      <c r="G33" s="186"/>
      <c r="H33" s="3"/>
      <c r="I33" s="2"/>
    </row>
    <row r="34" spans="1:9" ht="15">
      <c r="A34" s="2"/>
      <c r="B34" s="187"/>
      <c r="C34" s="190"/>
      <c r="D34" s="42"/>
      <c r="E34" s="1"/>
      <c r="F34" s="185"/>
      <c r="G34" s="186"/>
      <c r="H34" s="3"/>
      <c r="I34" s="2"/>
    </row>
  </sheetData>
  <sheetProtection/>
  <mergeCells count="4">
    <mergeCell ref="A1:H1"/>
    <mergeCell ref="A3:H3"/>
    <mergeCell ref="C4:D4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  <rowBreaks count="1" manualBreakCount="1">
    <brk id="3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79"/>
  <sheetViews>
    <sheetView view="pageBreakPreview" zoomScaleSheetLayoutView="100" workbookViewId="0" topLeftCell="A26">
      <selection activeCell="M80" sqref="M80"/>
    </sheetView>
  </sheetViews>
  <sheetFormatPr defaultColWidth="9.140625" defaultRowHeight="12.75"/>
  <cols>
    <col min="1" max="1" width="8.8515625" style="0" customWidth="1"/>
    <col min="2" max="2" width="6.421875" style="0" customWidth="1"/>
    <col min="3" max="3" width="33.140625" style="0" customWidth="1"/>
    <col min="4" max="4" width="22.140625" style="0" customWidth="1"/>
    <col min="5" max="5" width="8.7109375" style="0" customWidth="1"/>
    <col min="6" max="6" width="8.00390625" style="0" customWidth="1"/>
    <col min="7" max="7" width="8.8515625" style="0" customWidth="1"/>
    <col min="8" max="8" width="8.140625" style="0" customWidth="1"/>
  </cols>
  <sheetData>
    <row r="1" spans="1:89" ht="30.75" customHeight="1" thickBot="1">
      <c r="A1" s="306" t="s">
        <v>92</v>
      </c>
      <c r="B1" s="306"/>
      <c r="C1" s="306"/>
      <c r="D1" s="306"/>
      <c r="E1" s="306"/>
      <c r="F1" s="306"/>
      <c r="G1" s="306"/>
      <c r="H1" s="306"/>
      <c r="J1" s="28">
        <v>1</v>
      </c>
      <c r="K1" s="28">
        <v>2</v>
      </c>
      <c r="L1" s="28">
        <v>3</v>
      </c>
      <c r="M1" s="28">
        <v>4</v>
      </c>
      <c r="N1" s="28">
        <v>5</v>
      </c>
      <c r="O1" s="28">
        <v>6</v>
      </c>
      <c r="P1" s="28">
        <v>7</v>
      </c>
      <c r="Q1" s="28">
        <v>8</v>
      </c>
      <c r="R1" s="28">
        <v>9</v>
      </c>
      <c r="S1" s="28">
        <v>10</v>
      </c>
      <c r="T1" s="28">
        <v>11</v>
      </c>
      <c r="U1" s="28">
        <v>12</v>
      </c>
      <c r="V1" s="28">
        <v>13</v>
      </c>
      <c r="W1" s="28">
        <v>14</v>
      </c>
      <c r="X1" s="28">
        <v>15</v>
      </c>
      <c r="Y1" s="28">
        <v>16</v>
      </c>
      <c r="Z1" s="28">
        <v>17</v>
      </c>
      <c r="AA1" s="28">
        <v>18</v>
      </c>
      <c r="AB1" s="28">
        <v>19</v>
      </c>
      <c r="AC1" s="28">
        <v>20</v>
      </c>
      <c r="AD1" s="28">
        <v>21</v>
      </c>
      <c r="AE1" s="28">
        <v>22</v>
      </c>
      <c r="AF1" s="28">
        <v>23</v>
      </c>
      <c r="AG1" s="28">
        <v>24</v>
      </c>
      <c r="AH1" s="28">
        <v>25</v>
      </c>
      <c r="AI1" s="28">
        <v>26</v>
      </c>
      <c r="AJ1" s="28">
        <v>27</v>
      </c>
      <c r="AK1" s="28">
        <v>28</v>
      </c>
      <c r="AL1" s="28">
        <v>29</v>
      </c>
      <c r="AM1" s="28">
        <v>30</v>
      </c>
      <c r="AN1" s="28">
        <v>31</v>
      </c>
      <c r="AO1" s="28">
        <v>32</v>
      </c>
      <c r="AP1" s="28">
        <v>33</v>
      </c>
      <c r="AQ1" s="28">
        <v>34</v>
      </c>
      <c r="AR1" s="28">
        <v>35</v>
      </c>
      <c r="AS1" s="28">
        <v>36</v>
      </c>
      <c r="AT1" s="28">
        <v>37</v>
      </c>
      <c r="AU1" s="28">
        <v>38</v>
      </c>
      <c r="AV1" s="28">
        <v>39</v>
      </c>
      <c r="AW1" s="28">
        <v>40</v>
      </c>
      <c r="AX1" s="28">
        <v>41</v>
      </c>
      <c r="AY1" s="28">
        <v>42</v>
      </c>
      <c r="AZ1" s="28">
        <v>43</v>
      </c>
      <c r="BA1" s="28">
        <v>44</v>
      </c>
      <c r="BB1" s="28">
        <v>45</v>
      </c>
      <c r="BC1" s="28">
        <v>46</v>
      </c>
      <c r="BD1" s="28">
        <v>47</v>
      </c>
      <c r="BE1" s="28">
        <v>48</v>
      </c>
      <c r="BF1" s="28">
        <v>49</v>
      </c>
      <c r="BG1" s="28">
        <v>50</v>
      </c>
      <c r="BH1" s="28">
        <v>51</v>
      </c>
      <c r="BI1" s="28">
        <v>52</v>
      </c>
      <c r="BJ1" s="28">
        <v>53</v>
      </c>
      <c r="BK1" s="28">
        <v>54</v>
      </c>
      <c r="BL1" s="28">
        <v>55</v>
      </c>
      <c r="BM1" s="28">
        <v>56</v>
      </c>
      <c r="BN1" s="28">
        <v>57</v>
      </c>
      <c r="BO1" s="28">
        <v>58</v>
      </c>
      <c r="BP1" s="28">
        <v>59</v>
      </c>
      <c r="BQ1" s="28">
        <v>60</v>
      </c>
      <c r="BR1" s="28">
        <v>61</v>
      </c>
      <c r="BS1" s="28">
        <v>62</v>
      </c>
      <c r="BT1" s="28">
        <v>63</v>
      </c>
      <c r="BU1" s="28">
        <v>64</v>
      </c>
      <c r="BV1" s="28">
        <v>65</v>
      </c>
      <c r="BW1" s="28">
        <v>66</v>
      </c>
      <c r="BX1" s="28">
        <v>67</v>
      </c>
      <c r="BY1" s="28">
        <v>68</v>
      </c>
      <c r="BZ1" s="28">
        <v>69</v>
      </c>
      <c r="CA1" s="28">
        <v>70</v>
      </c>
      <c r="CB1" s="28">
        <v>71</v>
      </c>
      <c r="CC1" s="28">
        <v>72</v>
      </c>
      <c r="CD1" s="28">
        <v>73</v>
      </c>
      <c r="CE1" s="28">
        <v>74</v>
      </c>
      <c r="CF1" s="28">
        <v>75</v>
      </c>
      <c r="CG1" s="28">
        <v>76</v>
      </c>
      <c r="CH1" s="28">
        <v>77</v>
      </c>
      <c r="CI1" s="28">
        <v>78</v>
      </c>
      <c r="CJ1" s="28">
        <v>79</v>
      </c>
      <c r="CK1" s="28">
        <v>80</v>
      </c>
    </row>
    <row r="2" spans="10:89" ht="13.5" customHeight="1" thickBot="1">
      <c r="J2" s="28">
        <v>120</v>
      </c>
      <c r="K2" s="28">
        <v>108</v>
      </c>
      <c r="L2" s="28">
        <v>98</v>
      </c>
      <c r="M2" s="28">
        <v>90</v>
      </c>
      <c r="N2" s="28">
        <v>85</v>
      </c>
      <c r="O2" s="28">
        <v>82</v>
      </c>
      <c r="P2" s="28">
        <v>79</v>
      </c>
      <c r="Q2" s="28">
        <v>76</v>
      </c>
      <c r="R2" s="28">
        <v>74</v>
      </c>
      <c r="S2" s="28">
        <v>72</v>
      </c>
      <c r="T2" s="28">
        <v>70</v>
      </c>
      <c r="U2" s="28">
        <v>69</v>
      </c>
      <c r="V2" s="28">
        <v>68</v>
      </c>
      <c r="W2" s="28">
        <v>67</v>
      </c>
      <c r="X2" s="28">
        <v>66</v>
      </c>
      <c r="Y2" s="28">
        <v>65</v>
      </c>
      <c r="Z2" s="28">
        <v>64</v>
      </c>
      <c r="AA2" s="28">
        <v>63</v>
      </c>
      <c r="AB2" s="28">
        <v>62</v>
      </c>
      <c r="AC2" s="28">
        <v>61</v>
      </c>
      <c r="AD2" s="28">
        <v>60</v>
      </c>
      <c r="AE2" s="28">
        <v>59</v>
      </c>
      <c r="AF2" s="28">
        <v>58</v>
      </c>
      <c r="AG2" s="28">
        <v>57</v>
      </c>
      <c r="AH2" s="28">
        <v>56</v>
      </c>
      <c r="AI2" s="28">
        <v>55</v>
      </c>
      <c r="AJ2" s="28">
        <v>54</v>
      </c>
      <c r="AK2" s="28">
        <v>53</v>
      </c>
      <c r="AL2" s="28">
        <v>52</v>
      </c>
      <c r="AM2" s="28">
        <v>51</v>
      </c>
      <c r="AN2" s="28">
        <v>50</v>
      </c>
      <c r="AO2" s="28">
        <v>49</v>
      </c>
      <c r="AP2" s="28">
        <v>48</v>
      </c>
      <c r="AQ2" s="28">
        <v>47</v>
      </c>
      <c r="AR2" s="28">
        <v>46</v>
      </c>
      <c r="AS2" s="28">
        <v>45</v>
      </c>
      <c r="AT2" s="28">
        <v>44</v>
      </c>
      <c r="AU2" s="28">
        <v>43</v>
      </c>
      <c r="AV2" s="28">
        <v>42</v>
      </c>
      <c r="AW2" s="28">
        <v>41</v>
      </c>
      <c r="AX2" s="28">
        <v>40</v>
      </c>
      <c r="AY2" s="28">
        <v>39</v>
      </c>
      <c r="AZ2" s="28">
        <v>38</v>
      </c>
      <c r="BA2" s="28">
        <v>37</v>
      </c>
      <c r="BB2" s="28">
        <v>36</v>
      </c>
      <c r="BC2" s="28">
        <v>35</v>
      </c>
      <c r="BD2" s="28">
        <v>34</v>
      </c>
      <c r="BE2" s="28">
        <v>33</v>
      </c>
      <c r="BF2" s="28">
        <v>32</v>
      </c>
      <c r="BG2" s="28">
        <v>31</v>
      </c>
      <c r="BH2" s="28">
        <v>30</v>
      </c>
      <c r="BI2" s="28">
        <v>29</v>
      </c>
      <c r="BJ2" s="28">
        <v>28</v>
      </c>
      <c r="BK2" s="28">
        <v>27</v>
      </c>
      <c r="BL2" s="28">
        <v>26</v>
      </c>
      <c r="BM2" s="28">
        <v>25</v>
      </c>
      <c r="BN2" s="28">
        <v>24</v>
      </c>
      <c r="BO2" s="28">
        <v>23</v>
      </c>
      <c r="BP2" s="28">
        <v>22</v>
      </c>
      <c r="BQ2" s="28">
        <v>21</v>
      </c>
      <c r="BR2" s="28">
        <v>20</v>
      </c>
      <c r="BS2" s="28">
        <v>19</v>
      </c>
      <c r="BT2" s="28">
        <v>18</v>
      </c>
      <c r="BU2" s="28">
        <v>17</v>
      </c>
      <c r="BV2" s="28">
        <v>16</v>
      </c>
      <c r="BW2" s="28">
        <v>15</v>
      </c>
      <c r="BX2" s="28">
        <v>14</v>
      </c>
      <c r="BY2" s="28">
        <v>13</v>
      </c>
      <c r="BZ2" s="28">
        <v>12</v>
      </c>
      <c r="CA2" s="28">
        <v>11</v>
      </c>
      <c r="CB2" s="28">
        <v>10</v>
      </c>
      <c r="CC2" s="28">
        <v>9</v>
      </c>
      <c r="CD2" s="28">
        <v>8</v>
      </c>
      <c r="CE2" s="28">
        <v>7</v>
      </c>
      <c r="CF2" s="28">
        <v>6</v>
      </c>
      <c r="CG2" s="28">
        <v>5</v>
      </c>
      <c r="CH2" s="28">
        <v>4</v>
      </c>
      <c r="CI2" s="28">
        <v>3</v>
      </c>
      <c r="CJ2" s="28">
        <v>2</v>
      </c>
      <c r="CK2" s="28">
        <v>1</v>
      </c>
    </row>
    <row r="3" spans="1:8" ht="29.25" customHeight="1">
      <c r="A3" s="307" t="s">
        <v>98</v>
      </c>
      <c r="B3" s="307"/>
      <c r="C3" s="307"/>
      <c r="D3" s="307"/>
      <c r="E3" s="307"/>
      <c r="F3" s="307"/>
      <c r="G3" s="307"/>
      <c r="H3" s="307"/>
    </row>
    <row r="4" spans="1:6" ht="24.75" customHeight="1" thickBot="1">
      <c r="A4" s="38" t="s">
        <v>65</v>
      </c>
      <c r="B4" s="38"/>
      <c r="C4" s="325" t="s">
        <v>99</v>
      </c>
      <c r="D4" s="325"/>
      <c r="E4" s="334">
        <v>42035</v>
      </c>
      <c r="F4" s="334"/>
    </row>
    <row r="5" spans="1:9" ht="29.25" customHeight="1" thickBot="1">
      <c r="A5" s="78" t="s">
        <v>66</v>
      </c>
      <c r="B5" s="79" t="s">
        <v>12</v>
      </c>
      <c r="C5" s="80" t="s">
        <v>67</v>
      </c>
      <c r="D5" s="80" t="s">
        <v>6</v>
      </c>
      <c r="E5" s="79" t="s">
        <v>96</v>
      </c>
      <c r="F5" s="79" t="s">
        <v>97</v>
      </c>
      <c r="G5" s="193" t="s">
        <v>13</v>
      </c>
      <c r="H5" s="193" t="s">
        <v>14</v>
      </c>
      <c r="I5" s="193" t="s">
        <v>1</v>
      </c>
    </row>
    <row r="6" spans="1:9" ht="15" customHeight="1">
      <c r="A6" s="88"/>
      <c r="B6" s="90"/>
      <c r="C6" s="192" t="s">
        <v>94</v>
      </c>
      <c r="D6" s="89"/>
      <c r="E6" s="87"/>
      <c r="F6" s="87"/>
      <c r="G6" s="87"/>
      <c r="H6" s="87"/>
      <c r="I6" s="42"/>
    </row>
    <row r="7" spans="1:9" ht="15" customHeight="1">
      <c r="A7" s="15">
        <v>36</v>
      </c>
      <c r="B7" s="187">
        <v>5</v>
      </c>
      <c r="C7" s="189" t="str">
        <f>VLOOKUP(A7,'лич дояры'!$A$6:$C170,2,FALSE)</f>
        <v>Исянов Руслан</v>
      </c>
      <c r="D7" s="189" t="str">
        <f>VLOOKUP(A7,'лич дояры'!$A$6:$C170,3,FALSE)</f>
        <v>Кузнецкий</v>
      </c>
      <c r="E7" s="186">
        <v>0.014502314814814815</v>
      </c>
      <c r="F7" s="185">
        <v>0.010069444444444445</v>
      </c>
      <c r="G7" s="186">
        <f aca="true" t="shared" si="0" ref="G7:G35">E7-F7</f>
        <v>0.00443287037037037</v>
      </c>
      <c r="H7" s="3">
        <v>1</v>
      </c>
      <c r="I7" s="2">
        <f>LOOKUP(H7,$J$1:$CK$1,$J$2:$CK$2)</f>
        <v>120</v>
      </c>
    </row>
    <row r="8" spans="1:9" ht="15.75">
      <c r="A8" s="15">
        <v>20</v>
      </c>
      <c r="B8" s="188">
        <v>2</v>
      </c>
      <c r="C8" s="189" t="str">
        <f>VLOOKUP(A8,'лич дояры'!$A$6:$C167,2,FALSE)</f>
        <v>Карпов Евгений</v>
      </c>
      <c r="D8" s="189" t="str">
        <f>VLOOKUP(A8,'лич дояры'!$A$6:$C167,3,FALSE)</f>
        <v>Сердобский</v>
      </c>
      <c r="E8" s="186">
        <v>0.005115740740740741</v>
      </c>
      <c r="F8" s="185">
        <v>0.00034722222222222224</v>
      </c>
      <c r="G8" s="186">
        <f t="shared" si="0"/>
        <v>0.004768518518518519</v>
      </c>
      <c r="H8" s="3">
        <v>2</v>
      </c>
      <c r="I8" s="2">
        <f aca="true" t="shared" si="1" ref="I8:I35">LOOKUP(H8,$J$1:$CK$1,$J$2:$CK$2)</f>
        <v>108</v>
      </c>
    </row>
    <row r="9" spans="1:9" ht="15.75">
      <c r="A9" s="15">
        <v>191</v>
      </c>
      <c r="B9" s="213">
        <v>27</v>
      </c>
      <c r="C9" s="189" t="str">
        <f>VLOOKUP(A9,'лич дояры'!$A$6:$C192,2,FALSE)</f>
        <v>Заботин Владимир</v>
      </c>
      <c r="D9" s="214" t="str">
        <f>VLOOKUP(A9,'лич дояры'!$A$6:$C192,3,FALSE)</f>
        <v>Колышлейский</v>
      </c>
      <c r="E9" s="186">
        <v>0.013657407407407408</v>
      </c>
      <c r="F9" s="215">
        <v>0.008680555555555556</v>
      </c>
      <c r="G9" s="186">
        <f t="shared" si="0"/>
        <v>0.004976851851851852</v>
      </c>
      <c r="H9" s="3">
        <v>3</v>
      </c>
      <c r="I9" s="2">
        <f t="shared" si="1"/>
        <v>98</v>
      </c>
    </row>
    <row r="10" spans="1:9" ht="15.75">
      <c r="A10" s="15">
        <v>177</v>
      </c>
      <c r="B10" s="188">
        <v>14</v>
      </c>
      <c r="C10" s="189" t="str">
        <f>VLOOKUP(A10,'лич дояры'!$A$6:$C179,2,FALSE)</f>
        <v>Возьмилов Василий</v>
      </c>
      <c r="D10" s="189" t="str">
        <f>VLOOKUP(A10,'лич дояры'!$A$6:$C179,3,FALSE)</f>
        <v>Спасский</v>
      </c>
      <c r="E10" s="186">
        <v>0.010578703703703703</v>
      </c>
      <c r="F10" s="185">
        <v>0.005555555555555556</v>
      </c>
      <c r="G10" s="186">
        <f t="shared" si="0"/>
        <v>0.005023148148148147</v>
      </c>
      <c r="H10" s="3">
        <v>4</v>
      </c>
      <c r="I10" s="2">
        <f t="shared" si="1"/>
        <v>90</v>
      </c>
    </row>
    <row r="11" spans="1:9" ht="15.75">
      <c r="A11" s="15">
        <v>24</v>
      </c>
      <c r="B11" s="213">
        <v>8</v>
      </c>
      <c r="C11" s="189" t="str">
        <f>VLOOKUP(A11,'лич дояры'!$A$6:$C173,2,FALSE)</f>
        <v>Грачев Илья</v>
      </c>
      <c r="D11" s="189" t="str">
        <f>VLOOKUP(A11,'лич дояры'!$A$6:$C173,3,FALSE)</f>
        <v>Нижнеломовский</v>
      </c>
      <c r="E11" s="186">
        <v>0.008657407407407407</v>
      </c>
      <c r="F11" s="185">
        <v>0.003472222222222222</v>
      </c>
      <c r="G11" s="186">
        <f t="shared" si="0"/>
        <v>0.005185185185185185</v>
      </c>
      <c r="H11" s="3">
        <v>5</v>
      </c>
      <c r="I11" s="2">
        <f t="shared" si="1"/>
        <v>85</v>
      </c>
    </row>
    <row r="12" spans="1:9" ht="15.75">
      <c r="A12" s="216" t="s">
        <v>331</v>
      </c>
      <c r="B12" s="188">
        <v>18</v>
      </c>
      <c r="C12" s="189" t="str">
        <f>VLOOKUP(A12,'лич дояры'!$A$6:$C183,2,FALSE)</f>
        <v>Кирин Николай</v>
      </c>
      <c r="D12" s="214" t="str">
        <f>VLOOKUP(A12,'лич дояры'!$A$6:$C183,3,FALSE)</f>
        <v>Башмаковский</v>
      </c>
      <c r="E12" s="186">
        <v>0.007418981481481481</v>
      </c>
      <c r="F12" s="215">
        <v>0.0020833333333333333</v>
      </c>
      <c r="G12" s="186">
        <f t="shared" si="0"/>
        <v>0.005335648148148148</v>
      </c>
      <c r="H12" s="3">
        <v>6</v>
      </c>
      <c r="I12" s="2">
        <f t="shared" si="1"/>
        <v>82</v>
      </c>
    </row>
    <row r="13" spans="1:9" ht="15.75">
      <c r="A13" s="15">
        <v>39</v>
      </c>
      <c r="B13" s="213">
        <v>6</v>
      </c>
      <c r="C13" s="189" t="str">
        <f>VLOOKUP(A13,'лич дояры'!$A$6:$C171,2,FALSE)</f>
        <v>Жирнов Антон</v>
      </c>
      <c r="D13" s="189" t="str">
        <f>VLOOKUP(A13,'лич дояры'!$A$6:$C171,3,FALSE)</f>
        <v>Кузнецкий</v>
      </c>
      <c r="E13" s="186">
        <v>0.015081018518518516</v>
      </c>
      <c r="F13" s="185">
        <v>0.009722222222222222</v>
      </c>
      <c r="G13" s="186">
        <f t="shared" si="0"/>
        <v>0.005358796296296294</v>
      </c>
      <c r="H13" s="3">
        <v>7</v>
      </c>
      <c r="I13" s="2">
        <f t="shared" si="1"/>
        <v>79</v>
      </c>
    </row>
    <row r="14" spans="1:9" ht="15.75">
      <c r="A14" s="15" t="s">
        <v>270</v>
      </c>
      <c r="B14" s="188">
        <v>21</v>
      </c>
      <c r="C14" s="189" t="str">
        <f>VLOOKUP(A14,'лич дояры'!$A$6:$C186,2,FALSE)</f>
        <v>Воропаев Антон</v>
      </c>
      <c r="D14" s="214" t="str">
        <f>VLOOKUP(A14,'лич дояры'!$A$6:$C186,3,FALSE)</f>
        <v>Городищенский</v>
      </c>
      <c r="E14" s="186">
        <v>0.013483796296296298</v>
      </c>
      <c r="F14" s="215">
        <v>0.007986111111111112</v>
      </c>
      <c r="G14" s="186">
        <f t="shared" si="0"/>
        <v>0.005497685185185185</v>
      </c>
      <c r="H14" s="3">
        <v>8</v>
      </c>
      <c r="I14" s="2">
        <f t="shared" si="1"/>
        <v>76</v>
      </c>
    </row>
    <row r="15" spans="1:9" ht="15.75">
      <c r="A15" s="15" t="s">
        <v>398</v>
      </c>
      <c r="B15" s="213">
        <v>29</v>
      </c>
      <c r="C15" s="189" t="str">
        <f>VLOOKUP(A15,'лич дояры'!$A$6:$C194,2,FALSE)</f>
        <v>Суздальцев Вячеслав</v>
      </c>
      <c r="D15" s="214" t="str">
        <f>VLOOKUP(A15,'лич дояры'!$A$6:$C194,3,FALSE)</f>
        <v>Пачелмский</v>
      </c>
      <c r="E15" s="186">
        <v>0.006296296296296296</v>
      </c>
      <c r="F15" s="215">
        <v>0.0006944444444444445</v>
      </c>
      <c r="G15" s="186">
        <f t="shared" si="0"/>
        <v>0.005601851851851852</v>
      </c>
      <c r="H15" s="3">
        <v>9</v>
      </c>
      <c r="I15" s="2">
        <f t="shared" si="1"/>
        <v>74</v>
      </c>
    </row>
    <row r="16" spans="1:9" ht="15.75">
      <c r="A16" s="15">
        <v>195</v>
      </c>
      <c r="B16" s="188">
        <v>33</v>
      </c>
      <c r="C16" s="189" t="str">
        <f>VLOOKUP(A16,'лич дояры'!$A$6:$C198,2,FALSE)</f>
        <v>Нуждов Я.</v>
      </c>
      <c r="D16" s="214" t="str">
        <f>VLOOKUP(A16,'лич дояры'!$A$6:$C198,3,FALSE)</f>
        <v>Неверкинский</v>
      </c>
      <c r="E16" s="186">
        <v>0.01082175925925926</v>
      </c>
      <c r="F16" s="215">
        <v>0.005208333333333333</v>
      </c>
      <c r="G16" s="186">
        <f t="shared" si="0"/>
        <v>0.005613425925925927</v>
      </c>
      <c r="H16" s="3">
        <v>10</v>
      </c>
      <c r="I16" s="2">
        <f t="shared" si="1"/>
        <v>72</v>
      </c>
    </row>
    <row r="17" spans="1:9" ht="15.75">
      <c r="A17" s="15" t="s">
        <v>399</v>
      </c>
      <c r="B17" s="213">
        <v>32</v>
      </c>
      <c r="C17" s="189" t="str">
        <f>VLOOKUP(A17,'лич дояры'!$A$6:$C197,2,FALSE)</f>
        <v>Струев Владимир</v>
      </c>
      <c r="D17" s="214" t="str">
        <f>VLOOKUP(A17,'лич дояры'!$A$6:$C197,3,FALSE)</f>
        <v>Пачелмский</v>
      </c>
      <c r="E17" s="186">
        <v>0.008055555555555555</v>
      </c>
      <c r="F17" s="215">
        <v>0.0024305555555555556</v>
      </c>
      <c r="G17" s="186">
        <f t="shared" si="0"/>
        <v>0.005625</v>
      </c>
      <c r="H17" s="3">
        <v>11</v>
      </c>
      <c r="I17" s="2">
        <f t="shared" si="1"/>
        <v>70</v>
      </c>
    </row>
    <row r="18" spans="1:9" ht="15.75">
      <c r="A18" s="15">
        <v>176</v>
      </c>
      <c r="B18" s="276">
        <v>13</v>
      </c>
      <c r="C18" s="189" t="str">
        <f>VLOOKUP(A18,'лич дояры'!$A$6:$C178,2,FALSE)</f>
        <v>Спирин Сергей</v>
      </c>
      <c r="D18" s="189" t="str">
        <f>VLOOKUP(A18,'лич дояры'!$A$6:$C178,3,FALSE)</f>
        <v>Спасский</v>
      </c>
      <c r="E18" s="186">
        <v>0.011562499999999998</v>
      </c>
      <c r="F18" s="185">
        <v>0.005902777777777778</v>
      </c>
      <c r="G18" s="186">
        <f t="shared" si="0"/>
        <v>0.0056597222222222205</v>
      </c>
      <c r="H18" s="3">
        <v>12</v>
      </c>
      <c r="I18" s="2">
        <f t="shared" si="1"/>
        <v>69</v>
      </c>
    </row>
    <row r="19" spans="1:9" ht="15.75">
      <c r="A19" s="15">
        <v>172</v>
      </c>
      <c r="B19" s="188">
        <v>24</v>
      </c>
      <c r="C19" s="281" t="str">
        <f>VLOOKUP(A19,'лич дояры'!$A$6:$C189,2,FALSE)</f>
        <v>Силоченков Максим</v>
      </c>
      <c r="D19" s="214" t="str">
        <f>VLOOKUP(A19,'лич дояры'!$A$6:$C189,3,FALSE)</f>
        <v>Белинский</v>
      </c>
      <c r="E19" s="186">
        <v>0.013020833333333334</v>
      </c>
      <c r="F19" s="215">
        <v>0.007291666666666666</v>
      </c>
      <c r="G19" s="186">
        <f t="shared" si="0"/>
        <v>0.005729166666666668</v>
      </c>
      <c r="H19" s="3">
        <v>13</v>
      </c>
      <c r="I19" s="2">
        <f t="shared" si="1"/>
        <v>68</v>
      </c>
    </row>
    <row r="20" spans="1:9" ht="15.75">
      <c r="A20" s="15">
        <v>183</v>
      </c>
      <c r="B20" s="276">
        <v>15</v>
      </c>
      <c r="C20" s="281" t="str">
        <f>VLOOKUP(A20,'лич дояры'!$A$6:$C180,2,FALSE)</f>
        <v>Дятлов Николай</v>
      </c>
      <c r="D20" s="189" t="str">
        <f>VLOOKUP(A20,'лич дояры'!$A$6:$C180,3,FALSE)</f>
        <v>Каменский</v>
      </c>
      <c r="E20" s="186">
        <v>0.01621527777777778</v>
      </c>
      <c r="F20" s="185">
        <v>0.010416666666666666</v>
      </c>
      <c r="G20" s="186">
        <f t="shared" si="0"/>
        <v>0.005798611111111114</v>
      </c>
      <c r="H20" s="3">
        <v>14</v>
      </c>
      <c r="I20" s="2">
        <f t="shared" si="1"/>
        <v>67</v>
      </c>
    </row>
    <row r="21" spans="1:9" ht="15.75">
      <c r="A21" s="15">
        <v>173</v>
      </c>
      <c r="B21" s="188">
        <v>25</v>
      </c>
      <c r="C21" s="281" t="str">
        <f>VLOOKUP(A21,'лич дояры'!$A$6:$C190,2,FALSE)</f>
        <v>Балуев Денис</v>
      </c>
      <c r="D21" s="214" t="str">
        <f>VLOOKUP(A21,'лич дояры'!$A$6:$C190,3,FALSE)</f>
        <v>Белинский</v>
      </c>
      <c r="E21" s="186">
        <v>0.012060185185185186</v>
      </c>
      <c r="F21" s="215">
        <v>0.0062499999999999995</v>
      </c>
      <c r="G21" s="186">
        <f t="shared" si="0"/>
        <v>0.0058101851851851865</v>
      </c>
      <c r="H21" s="3">
        <v>15</v>
      </c>
      <c r="I21" s="2">
        <f t="shared" si="1"/>
        <v>66</v>
      </c>
    </row>
    <row r="22" spans="1:9" ht="15.75">
      <c r="A22" s="15">
        <v>25</v>
      </c>
      <c r="B22" s="276">
        <v>9</v>
      </c>
      <c r="C22" s="281" t="str">
        <f>VLOOKUP(A22,'лич дояры'!$A$6:$C174,2,FALSE)</f>
        <v>Кикин Дмитрий</v>
      </c>
      <c r="D22" s="189" t="str">
        <f>VLOOKUP(A22,'лич дояры'!$A$6:$C174,3,FALSE)</f>
        <v>Нижнеломовский</v>
      </c>
      <c r="E22" s="186">
        <v>0.008969907407407407</v>
      </c>
      <c r="F22" s="185">
        <v>0.003125</v>
      </c>
      <c r="G22" s="186">
        <f t="shared" si="0"/>
        <v>0.005844907407407407</v>
      </c>
      <c r="H22" s="3">
        <v>16</v>
      </c>
      <c r="I22" s="2">
        <f t="shared" si="1"/>
        <v>65</v>
      </c>
    </row>
    <row r="23" spans="1:9" ht="15.75">
      <c r="A23" s="15">
        <v>192</v>
      </c>
      <c r="B23" s="188">
        <v>28</v>
      </c>
      <c r="C23" s="281" t="str">
        <f>VLOOKUP(A23,'лич дояры'!$A$6:$C193,2,FALSE)</f>
        <v>Герасимов Антон</v>
      </c>
      <c r="D23" s="214" t="str">
        <f>VLOOKUP(A23,'лич дояры'!$A$6:$C193,3,FALSE)</f>
        <v>Колышлейский</v>
      </c>
      <c r="E23" s="186">
        <v>0.014351851851851852</v>
      </c>
      <c r="F23" s="215">
        <v>0.008333333333333333</v>
      </c>
      <c r="G23" s="186">
        <f t="shared" si="0"/>
        <v>0.0060185185185185185</v>
      </c>
      <c r="H23" s="3">
        <v>17</v>
      </c>
      <c r="I23" s="2">
        <f t="shared" si="1"/>
        <v>64</v>
      </c>
    </row>
    <row r="24" spans="1:9" ht="15.75">
      <c r="A24" s="15">
        <v>196</v>
      </c>
      <c r="B24" s="188">
        <v>30</v>
      </c>
      <c r="C24" s="281" t="str">
        <f>VLOOKUP(A24,'лич дояры'!$A$6:$C195,2,FALSE)</f>
        <v>Битнев А.</v>
      </c>
      <c r="D24" s="214" t="str">
        <f>VLOOKUP(A24,'лич дояры'!$A$6:$C195,3,FALSE)</f>
        <v>Неверкинский</v>
      </c>
      <c r="E24" s="186">
        <v>0.007511574074074074</v>
      </c>
      <c r="F24" s="215">
        <v>0.001388888888888889</v>
      </c>
      <c r="G24" s="186">
        <f t="shared" si="0"/>
        <v>0.006122685185185185</v>
      </c>
      <c r="H24" s="3">
        <v>18</v>
      </c>
      <c r="I24" s="2">
        <f t="shared" si="1"/>
        <v>63</v>
      </c>
    </row>
    <row r="25" spans="1:9" ht="15.75">
      <c r="A25" s="15">
        <v>29</v>
      </c>
      <c r="B25" s="276">
        <v>7</v>
      </c>
      <c r="C25" s="281" t="str">
        <f>VLOOKUP(A25,'лич дояры'!$A$6:$C172,2,FALSE)</f>
        <v>Сейфуллин Рамис</v>
      </c>
      <c r="D25" s="189" t="str">
        <f>VLOOKUP(A25,'лич дояры'!$A$6:$C172,3,FALSE)</f>
        <v>Лопатинский</v>
      </c>
      <c r="E25" s="186">
        <v>0.016944444444444443</v>
      </c>
      <c r="F25" s="185">
        <v>0.01076388888888889</v>
      </c>
      <c r="G25" s="186">
        <f t="shared" si="0"/>
        <v>0.006180555555555552</v>
      </c>
      <c r="H25" s="3">
        <v>19</v>
      </c>
      <c r="I25" s="2">
        <f t="shared" si="1"/>
        <v>62</v>
      </c>
    </row>
    <row r="26" spans="1:9" ht="15.75">
      <c r="A26" s="216" t="s">
        <v>332</v>
      </c>
      <c r="B26" s="188">
        <v>19</v>
      </c>
      <c r="C26" s="281" t="str">
        <f>VLOOKUP(A26,'лич дояры'!$A$6:$C184,2,FALSE)</f>
        <v>Климцов Николай</v>
      </c>
      <c r="D26" s="214" t="str">
        <f>VLOOKUP(A26,'лич дояры'!$A$6:$C184,3,FALSE)</f>
        <v>Башмаковский</v>
      </c>
      <c r="E26" s="186">
        <v>0.009189814814814814</v>
      </c>
      <c r="F26" s="215">
        <v>0.002777777777777778</v>
      </c>
      <c r="G26" s="186">
        <f t="shared" si="0"/>
        <v>0.0064120370370370355</v>
      </c>
      <c r="H26" s="3">
        <v>20</v>
      </c>
      <c r="I26" s="2">
        <f t="shared" si="1"/>
        <v>61</v>
      </c>
    </row>
    <row r="27" spans="1:9" ht="15.75">
      <c r="A27" s="15">
        <v>11</v>
      </c>
      <c r="B27" s="188">
        <v>4</v>
      </c>
      <c r="C27" s="281" t="str">
        <f>VLOOKUP(A27,'лич дояры'!$A$6:$C169,2,FALSE)</f>
        <v>Барков Дмитрий</v>
      </c>
      <c r="D27" s="189" t="str">
        <f>VLOOKUP(A27,'лич дояры'!$A$6:$C169,3,FALSE)</f>
        <v>Бековский</v>
      </c>
      <c r="E27" s="186">
        <v>0.014270833333333335</v>
      </c>
      <c r="F27" s="185">
        <v>0.007638888888888889</v>
      </c>
      <c r="G27" s="186">
        <f t="shared" si="0"/>
        <v>0.006631944444444446</v>
      </c>
      <c r="H27" s="3">
        <v>21</v>
      </c>
      <c r="I27" s="2">
        <f t="shared" si="1"/>
        <v>60</v>
      </c>
    </row>
    <row r="28" spans="1:9" ht="15.75">
      <c r="A28" s="15" t="s">
        <v>397</v>
      </c>
      <c r="B28" s="276">
        <v>17</v>
      </c>
      <c r="C28" s="281" t="str">
        <f>VLOOKUP(A28,'лич дояры'!$A$6:$C182,2,FALSE)</f>
        <v>Шатлов А</v>
      </c>
      <c r="D28" s="189" t="str">
        <f>VLOOKUP(A28,'лич дояры'!$A$6:$C182,3,FALSE)</f>
        <v>Никольский</v>
      </c>
      <c r="E28" s="186">
        <v>0.013703703703703704</v>
      </c>
      <c r="F28" s="185">
        <v>0.006597222222222222</v>
      </c>
      <c r="G28" s="186">
        <f t="shared" si="0"/>
        <v>0.007106481481481482</v>
      </c>
      <c r="H28" s="3">
        <v>22</v>
      </c>
      <c r="I28" s="2">
        <f t="shared" si="1"/>
        <v>59</v>
      </c>
    </row>
    <row r="29" spans="1:9" ht="15.75">
      <c r="A29" s="15" t="s">
        <v>269</v>
      </c>
      <c r="B29" s="276">
        <v>20</v>
      </c>
      <c r="C29" s="281" t="str">
        <f>VLOOKUP(A29,'лич дояры'!$A$6:$C185,2,FALSE)</f>
        <v>Самойлов Алексей</v>
      </c>
      <c r="D29" s="214" t="str">
        <f>VLOOKUP(A29,'лич дояры'!$A$6:$C185,3,FALSE)</f>
        <v>Городищенский</v>
      </c>
      <c r="E29" s="186">
        <v>0.011122685185185185</v>
      </c>
      <c r="F29" s="215">
        <v>0.0038194444444444443</v>
      </c>
      <c r="G29" s="186">
        <f t="shared" si="0"/>
        <v>0.00730324074074074</v>
      </c>
      <c r="H29" s="3">
        <v>23</v>
      </c>
      <c r="I29" s="2">
        <f t="shared" si="1"/>
        <v>58</v>
      </c>
    </row>
    <row r="30" spans="1:9" ht="15.75">
      <c r="A30" s="15">
        <v>10</v>
      </c>
      <c r="B30" s="276">
        <v>3</v>
      </c>
      <c r="C30" s="281" t="str">
        <f>VLOOKUP(A30,'лич дояры'!$A$6:$C168,2,FALSE)</f>
        <v>Климов Дмитрий</v>
      </c>
      <c r="D30" s="189" t="str">
        <f>VLOOKUP(A30,'лич дояры'!$A$6:$C168,3,FALSE)</f>
        <v>Бековский</v>
      </c>
      <c r="E30" s="186">
        <v>0.012349537037037039</v>
      </c>
      <c r="F30" s="185">
        <v>0.004861111111111111</v>
      </c>
      <c r="G30" s="186">
        <f t="shared" si="0"/>
        <v>0.007488425925925928</v>
      </c>
      <c r="H30" s="3">
        <v>24</v>
      </c>
      <c r="I30" s="2">
        <f t="shared" si="1"/>
        <v>57</v>
      </c>
    </row>
    <row r="31" spans="1:9" ht="15.75">
      <c r="A31" s="15">
        <v>31</v>
      </c>
      <c r="B31" s="188">
        <v>10</v>
      </c>
      <c r="C31" s="281" t="str">
        <f>VLOOKUP(A31,'лич дояры'!$A$6:$C175,2,FALSE)</f>
        <v>Садомов Александр</v>
      </c>
      <c r="D31" s="189" t="str">
        <f>VLOOKUP(A31,'лич дояры'!$A$6:$C175,3,FALSE)</f>
        <v>Земетчинский</v>
      </c>
      <c r="E31" s="186">
        <v>0.012037037037037035</v>
      </c>
      <c r="F31" s="185">
        <v>0.004513888888888889</v>
      </c>
      <c r="G31" s="186">
        <f t="shared" si="0"/>
        <v>0.007523148148148146</v>
      </c>
      <c r="H31" s="3">
        <v>25</v>
      </c>
      <c r="I31" s="2">
        <f t="shared" si="1"/>
        <v>56</v>
      </c>
    </row>
    <row r="32" spans="1:9" ht="15.75">
      <c r="A32" s="15">
        <v>170</v>
      </c>
      <c r="B32" s="276">
        <v>11</v>
      </c>
      <c r="C32" s="281" t="str">
        <f>VLOOKUP(A32,'лич дояры'!$A$6:$C176,2,FALSE)</f>
        <v>Горшков Сергей</v>
      </c>
      <c r="D32" s="189" t="str">
        <f>VLOOKUP(A32,'лич дояры'!$A$6:$C176,3,FALSE)</f>
        <v>Малосердобинский</v>
      </c>
      <c r="E32" s="186">
        <v>0.01699074074074074</v>
      </c>
      <c r="F32" s="185">
        <v>0.009375</v>
      </c>
      <c r="G32" s="186">
        <f t="shared" si="0"/>
        <v>0.007615740740740741</v>
      </c>
      <c r="H32" s="3">
        <v>26</v>
      </c>
      <c r="I32" s="2">
        <f t="shared" si="1"/>
        <v>55</v>
      </c>
    </row>
    <row r="33" spans="1:9" ht="15.75">
      <c r="A33" s="15">
        <v>15</v>
      </c>
      <c r="B33" s="188">
        <v>31</v>
      </c>
      <c r="C33" s="281" t="str">
        <f>VLOOKUP(A33,'лич дояры'!$A$6:$C196,2,FALSE)</f>
        <v>Шишов Владимир</v>
      </c>
      <c r="D33" s="214" t="str">
        <f>VLOOKUP(A33,'лич дояры'!$A$6:$C196,3,FALSE)</f>
        <v>Камешкирский</v>
      </c>
      <c r="E33" s="186">
        <v>0.010138888888888888</v>
      </c>
      <c r="F33" s="215">
        <v>0.001736111111111111</v>
      </c>
      <c r="G33" s="186">
        <f t="shared" si="0"/>
        <v>0.008402777777777776</v>
      </c>
      <c r="H33" s="3">
        <v>27</v>
      </c>
      <c r="I33" s="2">
        <f t="shared" si="1"/>
        <v>54</v>
      </c>
    </row>
    <row r="34" spans="1:9" ht="15.75">
      <c r="A34" s="15">
        <v>171</v>
      </c>
      <c r="B34" s="188">
        <v>12</v>
      </c>
      <c r="C34" s="281" t="str">
        <f>VLOOKUP(A34,'лич дояры'!$A$6:$C177,2,FALSE)</f>
        <v>Заварзин Денис</v>
      </c>
      <c r="D34" s="189" t="str">
        <f>VLOOKUP(A34,'лич дояры'!$A$6:$C177,3,FALSE)</f>
        <v>Малосердобинский</v>
      </c>
      <c r="E34" s="186">
        <v>0.017731481481481483</v>
      </c>
      <c r="F34" s="185">
        <v>0.009027777777777779</v>
      </c>
      <c r="G34" s="186">
        <f t="shared" si="0"/>
        <v>0.008703703703703705</v>
      </c>
      <c r="H34" s="3">
        <v>28</v>
      </c>
      <c r="I34" s="2">
        <f t="shared" si="1"/>
        <v>53</v>
      </c>
    </row>
    <row r="35" spans="1:9" ht="15.75">
      <c r="A35" s="15">
        <v>32</v>
      </c>
      <c r="B35" s="188">
        <v>16</v>
      </c>
      <c r="C35" s="281" t="str">
        <f>VLOOKUP(A35,'лич дояры'!$A$6:$C181,2,FALSE)</f>
        <v>Кузнецов Н</v>
      </c>
      <c r="D35" s="189" t="str">
        <f>VLOOKUP(A35,'лич дояры'!$A$6:$C181,3,FALSE)</f>
        <v>Никольский</v>
      </c>
      <c r="E35" s="186">
        <v>0.013275462962962963</v>
      </c>
      <c r="F35" s="185">
        <v>0.004166666666666667</v>
      </c>
      <c r="G35" s="186">
        <f t="shared" si="0"/>
        <v>0.009108796296296295</v>
      </c>
      <c r="H35" s="3">
        <v>29</v>
      </c>
      <c r="I35" s="2">
        <f t="shared" si="1"/>
        <v>52</v>
      </c>
    </row>
    <row r="36" spans="1:9" ht="15.75">
      <c r="A36" s="15">
        <v>8</v>
      </c>
      <c r="B36" s="276">
        <v>1</v>
      </c>
      <c r="C36" s="281" t="str">
        <f>VLOOKUP(A36,'лич дояры'!$A$6:$C166,2,FALSE)</f>
        <v>Бормотов Константин</v>
      </c>
      <c r="D36" s="189" t="str">
        <f>VLOOKUP(A36,'лич дояры'!$A$6:$C166,3,FALSE)</f>
        <v>Наровчатский</v>
      </c>
      <c r="E36" s="186"/>
      <c r="F36" s="185"/>
      <c r="G36" s="186"/>
      <c r="H36" s="3"/>
      <c r="I36" s="2"/>
    </row>
    <row r="37" spans="1:9" ht="15.75">
      <c r="A37" s="15">
        <v>188</v>
      </c>
      <c r="B37" s="188">
        <v>22</v>
      </c>
      <c r="C37" s="281" t="str">
        <f>VLOOKUP(A37,'лич дояры'!$A$6:$C187,2,FALSE)</f>
        <v>Тихонов Евгений</v>
      </c>
      <c r="D37" s="214" t="str">
        <f>VLOOKUP(A37,'лич дояры'!$A$6:$C187,3,FALSE)</f>
        <v>Сосновоборский</v>
      </c>
      <c r="E37" s="186"/>
      <c r="F37" s="215"/>
      <c r="G37" s="186"/>
      <c r="H37" s="3"/>
      <c r="I37" s="2"/>
    </row>
    <row r="38" spans="1:9" ht="15.75">
      <c r="A38" s="15">
        <v>189</v>
      </c>
      <c r="B38" s="276">
        <v>23</v>
      </c>
      <c r="C38" s="281" t="str">
        <f>VLOOKUP(A38,'лич дояры'!$A$6:$C188,2,FALSE)</f>
        <v>Фарафанов Дмитрий</v>
      </c>
      <c r="D38" s="214" t="str">
        <f>VLOOKUP(A38,'лич дояры'!$A$6:$C188,3,FALSE)</f>
        <v>Сосновоборский</v>
      </c>
      <c r="E38" s="186"/>
      <c r="F38" s="215"/>
      <c r="G38" s="186"/>
      <c r="H38" s="3"/>
      <c r="I38" s="2"/>
    </row>
    <row r="39" spans="1:9" ht="15.75">
      <c r="A39" s="15">
        <v>187</v>
      </c>
      <c r="B39" s="276">
        <v>26</v>
      </c>
      <c r="C39" s="189" t="e">
        <f>VLOOKUP(A39,'лич дояры'!$A$6:$C191,2,FALSE)</f>
        <v>#N/A</v>
      </c>
      <c r="D39" s="214" t="e">
        <f>VLOOKUP(A39,'лич дояры'!$A$6:$C191,3,FALSE)</f>
        <v>#N/A</v>
      </c>
      <c r="E39" s="186"/>
      <c r="F39" s="215"/>
      <c r="G39" s="186"/>
      <c r="H39" s="3"/>
      <c r="I39" s="2"/>
    </row>
    <row r="40" spans="1:9" ht="18.75">
      <c r="A40" s="2"/>
      <c r="B40" s="188"/>
      <c r="C40" s="191" t="s">
        <v>95</v>
      </c>
      <c r="D40" s="1"/>
      <c r="E40" s="186"/>
      <c r="F40" s="1"/>
      <c r="G40" s="186"/>
      <c r="H40" s="3"/>
      <c r="I40" s="2"/>
    </row>
    <row r="41" spans="1:9" ht="15.75">
      <c r="A41" s="1">
        <v>1</v>
      </c>
      <c r="B41" s="221">
        <v>66</v>
      </c>
      <c r="C41" s="214" t="e">
        <f>VLOOKUP(A41,#REF!,2,FALSE)</f>
        <v>#REF!</v>
      </c>
      <c r="D41" s="214" t="e">
        <f>VLOOKUP(A41,#REF!,3,FALSE)</f>
        <v>#REF!</v>
      </c>
      <c r="E41" s="186">
        <v>0.032685185185185185</v>
      </c>
      <c r="F41" s="215">
        <v>0.028125</v>
      </c>
      <c r="G41" s="186">
        <f aca="true" t="shared" si="2" ref="G41:G79">E41-F41</f>
        <v>0.0045601851851851845</v>
      </c>
      <c r="H41" s="3">
        <v>1</v>
      </c>
      <c r="I41" s="2">
        <f aca="true" t="shared" si="3" ref="I41:I79">LOOKUP(H41,$J$1:$CK$1,$J$2:$CK$2)</f>
        <v>120</v>
      </c>
    </row>
    <row r="42" spans="1:9" ht="15.75">
      <c r="A42" s="211">
        <v>33</v>
      </c>
      <c r="B42" s="188">
        <v>34</v>
      </c>
      <c r="C42" s="189" t="e">
        <f>VLOOKUP(A42,#REF!,2,FALSE)</f>
        <v>#REF!</v>
      </c>
      <c r="D42" s="189" t="e">
        <f>VLOOKUP(A42,#REF!,3,FALSE)</f>
        <v>#REF!</v>
      </c>
      <c r="E42" s="186">
        <v>0.02179398148148148</v>
      </c>
      <c r="F42" s="215">
        <v>0.0170138888888889</v>
      </c>
      <c r="G42" s="186">
        <f t="shared" si="2"/>
        <v>0.004780092592592579</v>
      </c>
      <c r="H42" s="3">
        <v>2</v>
      </c>
      <c r="I42" s="2">
        <f t="shared" si="3"/>
        <v>108</v>
      </c>
    </row>
    <row r="43" spans="1:9" ht="15.75">
      <c r="A43" s="1">
        <v>2</v>
      </c>
      <c r="B43" s="222">
        <v>67</v>
      </c>
      <c r="C43" s="214" t="e">
        <f>VLOOKUP(A43,#REF!,2,FALSE)</f>
        <v>#REF!</v>
      </c>
      <c r="D43" s="214" t="e">
        <f>VLOOKUP(A43,#REF!,3,FALSE)</f>
        <v>#REF!</v>
      </c>
      <c r="E43" s="186">
        <v>0.033587962962962965</v>
      </c>
      <c r="F43" s="215">
        <v>0.0284722222222223</v>
      </c>
      <c r="G43" s="186">
        <f t="shared" si="2"/>
        <v>0.005115740740740664</v>
      </c>
      <c r="H43" s="3">
        <v>2</v>
      </c>
      <c r="I43" s="2">
        <f t="shared" si="3"/>
        <v>108</v>
      </c>
    </row>
    <row r="44" spans="1:9" ht="15.75">
      <c r="A44" s="14" t="s">
        <v>228</v>
      </c>
      <c r="B44" s="278">
        <v>51</v>
      </c>
      <c r="C44" s="214" t="e">
        <f>VLOOKUP(A44,#REF!,2,FALSE)</f>
        <v>#REF!</v>
      </c>
      <c r="D44" s="214" t="e">
        <f>VLOOKUP(A44,#REF!,3,FALSE)</f>
        <v>#REF!</v>
      </c>
      <c r="E44" s="186">
        <v>0.02803240740740741</v>
      </c>
      <c r="F44" s="215">
        <v>0.0229166666666667</v>
      </c>
      <c r="G44" s="186">
        <f t="shared" si="2"/>
        <v>0.005115740740740709</v>
      </c>
      <c r="H44" s="3">
        <v>4</v>
      </c>
      <c r="I44" s="2">
        <f t="shared" si="3"/>
        <v>90</v>
      </c>
    </row>
    <row r="45" spans="1:9" ht="15.75">
      <c r="A45" s="14">
        <v>185</v>
      </c>
      <c r="B45" s="221">
        <v>56</v>
      </c>
      <c r="C45" s="214" t="e">
        <f>VLOOKUP(A45,#REF!,2,FALSE)</f>
        <v>#REF!</v>
      </c>
      <c r="D45" s="214" t="e">
        <f>VLOOKUP(A45,#REF!,3,FALSE)</f>
        <v>#REF!</v>
      </c>
      <c r="E45" s="186">
        <v>0.029837962962962965</v>
      </c>
      <c r="F45" s="215">
        <v>0.0246527777777778</v>
      </c>
      <c r="G45" s="186">
        <f t="shared" si="2"/>
        <v>0.005185185185185164</v>
      </c>
      <c r="H45" s="3">
        <v>4</v>
      </c>
      <c r="I45" s="2">
        <f t="shared" si="3"/>
        <v>90</v>
      </c>
    </row>
    <row r="46" spans="1:9" ht="15.75">
      <c r="A46" s="14">
        <v>179</v>
      </c>
      <c r="B46" s="223">
        <v>48</v>
      </c>
      <c r="C46" s="214" t="e">
        <f>VLOOKUP(A46,#REF!,2,FALSE)</f>
        <v>#REF!</v>
      </c>
      <c r="D46" s="214" t="e">
        <f>VLOOKUP(A46,#REF!,3,FALSE)</f>
        <v>#REF!</v>
      </c>
      <c r="E46" s="186">
        <v>0.027060185185185187</v>
      </c>
      <c r="F46" s="215">
        <v>0.021875</v>
      </c>
      <c r="G46" s="186">
        <f t="shared" si="2"/>
        <v>0.0051851851851851885</v>
      </c>
      <c r="H46" s="3">
        <v>6</v>
      </c>
      <c r="I46" s="2">
        <f t="shared" si="3"/>
        <v>82</v>
      </c>
    </row>
    <row r="47" spans="1:9" ht="15.75">
      <c r="A47" s="14">
        <v>180</v>
      </c>
      <c r="B47" s="222">
        <v>49</v>
      </c>
      <c r="C47" s="214" t="e">
        <f>VLOOKUP(A47,#REF!,2,FALSE)</f>
        <v>#REF!</v>
      </c>
      <c r="D47" s="214" t="e">
        <f>VLOOKUP(A47,#REF!,3,FALSE)</f>
        <v>#REF!</v>
      </c>
      <c r="E47" s="186">
        <v>0.027430555555555555</v>
      </c>
      <c r="F47" s="215">
        <v>0.0222222222222222</v>
      </c>
      <c r="G47" s="186">
        <f t="shared" si="2"/>
        <v>0.0052083333333333565</v>
      </c>
      <c r="H47" s="3">
        <v>7</v>
      </c>
      <c r="I47" s="2">
        <f t="shared" si="3"/>
        <v>79</v>
      </c>
    </row>
    <row r="48" spans="1:9" ht="15.75">
      <c r="A48" s="211" t="s">
        <v>170</v>
      </c>
      <c r="B48" s="188">
        <v>40</v>
      </c>
      <c r="C48" s="189" t="e">
        <f>VLOOKUP(A48,#REF!,2,FALSE)</f>
        <v>#REF!</v>
      </c>
      <c r="D48" s="189" t="e">
        <f>VLOOKUP(A48,#REF!,3,FALSE)</f>
        <v>#REF!</v>
      </c>
      <c r="E48" s="186">
        <v>0.02431712962962963</v>
      </c>
      <c r="F48" s="215">
        <v>0.0190972222222222</v>
      </c>
      <c r="G48" s="186">
        <f t="shared" si="2"/>
        <v>0.00521990740740743</v>
      </c>
      <c r="H48" s="3">
        <v>8</v>
      </c>
      <c r="I48" s="2">
        <f t="shared" si="3"/>
        <v>76</v>
      </c>
    </row>
    <row r="49" spans="1:9" ht="15.75">
      <c r="A49" s="14">
        <v>18</v>
      </c>
      <c r="B49" s="221">
        <v>42</v>
      </c>
      <c r="C49" s="214" t="e">
        <f>VLOOKUP(A49,#REF!,2,FALSE)</f>
        <v>#REF!</v>
      </c>
      <c r="D49" s="214" t="e">
        <f>VLOOKUP(A49,#REF!,3,FALSE)</f>
        <v>#REF!</v>
      </c>
      <c r="E49" s="186">
        <v>0.0250462962962963</v>
      </c>
      <c r="F49" s="215">
        <v>0.0197916666666667</v>
      </c>
      <c r="G49" s="186">
        <f t="shared" si="2"/>
        <v>0.005254629629629599</v>
      </c>
      <c r="H49" s="3">
        <v>8</v>
      </c>
      <c r="I49" s="2">
        <f t="shared" si="3"/>
        <v>76</v>
      </c>
    </row>
    <row r="50" spans="1:9" ht="15.75">
      <c r="A50" s="211" t="s">
        <v>169</v>
      </c>
      <c r="B50" s="276">
        <v>39</v>
      </c>
      <c r="C50" s="189" t="e">
        <f>VLOOKUP(A50,#REF!,2,FALSE)</f>
        <v>#REF!</v>
      </c>
      <c r="D50" s="189" t="e">
        <f>VLOOKUP(A50,#REF!,3,FALSE)</f>
        <v>#REF!</v>
      </c>
      <c r="E50" s="186">
        <v>0.02400462962962963</v>
      </c>
      <c r="F50" s="215">
        <v>0.01875</v>
      </c>
      <c r="G50" s="186">
        <f t="shared" si="2"/>
        <v>0.00525462962962963</v>
      </c>
      <c r="H50" s="3">
        <v>10</v>
      </c>
      <c r="I50" s="2">
        <f t="shared" si="3"/>
        <v>72</v>
      </c>
    </row>
    <row r="51" spans="1:9" ht="15.75">
      <c r="A51" s="14">
        <v>26</v>
      </c>
      <c r="B51" s="221">
        <v>64</v>
      </c>
      <c r="C51" s="214" t="e">
        <f>VLOOKUP(A51,#REF!,2,FALSE)</f>
        <v>#REF!</v>
      </c>
      <c r="D51" s="214" t="e">
        <f>VLOOKUP(A51,#REF!,3,FALSE)</f>
        <v>#REF!</v>
      </c>
      <c r="E51" s="186">
        <v>0.03275462962962963</v>
      </c>
      <c r="F51" s="215">
        <v>0.0274305555555556</v>
      </c>
      <c r="G51" s="186">
        <f t="shared" si="2"/>
        <v>0.005324074074074026</v>
      </c>
      <c r="H51" s="3">
        <v>11</v>
      </c>
      <c r="I51" s="2">
        <f t="shared" si="3"/>
        <v>70</v>
      </c>
    </row>
    <row r="52" spans="1:9" ht="15.75">
      <c r="A52" s="211">
        <v>20</v>
      </c>
      <c r="B52" s="276">
        <v>41</v>
      </c>
      <c r="C52" s="189" t="e">
        <f>VLOOKUP(A52,#REF!,2,FALSE)</f>
        <v>#REF!</v>
      </c>
      <c r="D52" s="189" t="e">
        <f>VLOOKUP(A52,#REF!,3,FALSE)</f>
        <v>#REF!</v>
      </c>
      <c r="E52" s="186">
        <v>0.024814814814814817</v>
      </c>
      <c r="F52" s="215">
        <v>0.0194444444444444</v>
      </c>
      <c r="G52" s="186">
        <f t="shared" si="2"/>
        <v>0.005370370370370418</v>
      </c>
      <c r="H52" s="3">
        <v>12</v>
      </c>
      <c r="I52" s="2">
        <f t="shared" si="3"/>
        <v>69</v>
      </c>
    </row>
    <row r="53" spans="1:9" ht="15.75">
      <c r="A53" s="211">
        <v>22</v>
      </c>
      <c r="B53" s="213">
        <v>30</v>
      </c>
      <c r="C53" s="189" t="e">
        <f>VLOOKUP(A53,#REF!,2,FALSE)</f>
        <v>#REF!</v>
      </c>
      <c r="D53" s="189" t="e">
        <f>VLOOKUP(A53,#REF!,3,FALSE)</f>
        <v>#REF!</v>
      </c>
      <c r="E53" s="186">
        <v>0.02101851851851852</v>
      </c>
      <c r="F53" s="215">
        <v>0.015625</v>
      </c>
      <c r="G53" s="186">
        <f t="shared" si="2"/>
        <v>0.00539351851851852</v>
      </c>
      <c r="H53" s="3">
        <v>13</v>
      </c>
      <c r="I53" s="2">
        <f t="shared" si="3"/>
        <v>68</v>
      </c>
    </row>
    <row r="54" spans="1:9" ht="15.75">
      <c r="A54" s="43" t="s">
        <v>291</v>
      </c>
      <c r="B54" s="221">
        <v>62</v>
      </c>
      <c r="C54" s="214" t="e">
        <f>VLOOKUP(A54,#REF!,2,FALSE)</f>
        <v>#REF!</v>
      </c>
      <c r="D54" s="214" t="e">
        <f>VLOOKUP(A54,#REF!,3,FALSE)</f>
        <v>#REF!</v>
      </c>
      <c r="E54" s="186">
        <v>0.032233796296296295</v>
      </c>
      <c r="F54" s="215">
        <v>0.0267361111111111</v>
      </c>
      <c r="G54" s="186">
        <f t="shared" si="2"/>
        <v>0.005497685185185196</v>
      </c>
      <c r="H54" s="217">
        <v>14</v>
      </c>
      <c r="I54" s="218">
        <f t="shared" si="3"/>
        <v>67</v>
      </c>
    </row>
    <row r="55" spans="1:9" ht="15.75">
      <c r="A55" s="14">
        <v>15</v>
      </c>
      <c r="B55" s="222">
        <v>61</v>
      </c>
      <c r="C55" s="214" t="e">
        <f>VLOOKUP(A55,#REF!,2,FALSE)</f>
        <v>#REF!</v>
      </c>
      <c r="D55" s="214" t="e">
        <f>VLOOKUP(A55,#REF!,3,FALSE)</f>
        <v>#REF!</v>
      </c>
      <c r="E55" s="186">
        <v>0.0319212962962963</v>
      </c>
      <c r="F55" s="215">
        <v>0.0263888888888889</v>
      </c>
      <c r="G55" s="186">
        <f t="shared" si="2"/>
        <v>0.0055324074074074026</v>
      </c>
      <c r="H55" s="219">
        <v>14</v>
      </c>
      <c r="I55" s="210">
        <f t="shared" si="3"/>
        <v>67</v>
      </c>
    </row>
    <row r="56" spans="1:9" ht="15.75">
      <c r="A56" s="14">
        <v>174</v>
      </c>
      <c r="B56" s="278">
        <v>57</v>
      </c>
      <c r="C56" s="214" t="e">
        <f>VLOOKUP(A56,#REF!,2,FALSE)</f>
        <v>#REF!</v>
      </c>
      <c r="D56" s="214" t="e">
        <f>VLOOKUP(A56,#REF!,3,FALSE)</f>
        <v>#REF!</v>
      </c>
      <c r="E56" s="186">
        <v>0.03053240740740741</v>
      </c>
      <c r="F56" s="215">
        <v>0.025</v>
      </c>
      <c r="G56" s="186">
        <f t="shared" si="2"/>
        <v>0.0055324074074074095</v>
      </c>
      <c r="H56" s="219">
        <v>14</v>
      </c>
      <c r="I56" s="210">
        <f t="shared" si="3"/>
        <v>67</v>
      </c>
    </row>
    <row r="57" spans="1:9" ht="15.75">
      <c r="A57" s="211">
        <v>23</v>
      </c>
      <c r="B57" s="187">
        <v>31</v>
      </c>
      <c r="C57" s="189" t="e">
        <f>VLOOKUP(A57,#REF!,2,FALSE)</f>
        <v>#REF!</v>
      </c>
      <c r="D57" s="189" t="e">
        <f>VLOOKUP(A57,#REF!,3,FALSE)</f>
        <v>#REF!</v>
      </c>
      <c r="E57" s="186">
        <v>0.021504629629629627</v>
      </c>
      <c r="F57" s="215">
        <v>0.0159722222222222</v>
      </c>
      <c r="G57" s="186">
        <f t="shared" si="2"/>
        <v>0.005532407407407427</v>
      </c>
      <c r="H57" s="219">
        <v>17</v>
      </c>
      <c r="I57" s="210">
        <f t="shared" si="3"/>
        <v>64</v>
      </c>
    </row>
    <row r="58" spans="1:9" ht="15.75">
      <c r="A58" s="14">
        <v>178</v>
      </c>
      <c r="B58" s="278">
        <v>47</v>
      </c>
      <c r="C58" s="214" t="e">
        <f>VLOOKUP(A58,#REF!,2,FALSE)</f>
        <v>#REF!</v>
      </c>
      <c r="D58" s="214" t="e">
        <f>VLOOKUP(A58,#REF!,3,FALSE)</f>
        <v>#REF!</v>
      </c>
      <c r="E58" s="186">
        <v>0.027141203703703706</v>
      </c>
      <c r="F58" s="215">
        <v>0.0215277777777778</v>
      </c>
      <c r="G58" s="186">
        <f t="shared" si="2"/>
        <v>0.005613425925925907</v>
      </c>
      <c r="H58" s="219">
        <v>18</v>
      </c>
      <c r="I58" s="210">
        <f t="shared" si="3"/>
        <v>63</v>
      </c>
    </row>
    <row r="59" spans="1:9" ht="15.75">
      <c r="A59" s="14">
        <v>184</v>
      </c>
      <c r="B59" s="222">
        <v>55</v>
      </c>
      <c r="C59" s="214" t="e">
        <f>VLOOKUP(A59,#REF!,2,FALSE)</f>
        <v>#REF!</v>
      </c>
      <c r="D59" s="214" t="e">
        <f>VLOOKUP(A59,#REF!,3,FALSE)</f>
        <v>#REF!</v>
      </c>
      <c r="E59" s="186">
        <v>0.029976851851851852</v>
      </c>
      <c r="F59" s="215">
        <v>0.0243055555555556</v>
      </c>
      <c r="G59" s="186">
        <f t="shared" si="2"/>
        <v>0.005671296296296251</v>
      </c>
      <c r="H59" s="219">
        <v>19</v>
      </c>
      <c r="I59" s="210">
        <f t="shared" si="3"/>
        <v>62</v>
      </c>
    </row>
    <row r="60" spans="1:9" ht="15.75">
      <c r="A60" s="14">
        <v>193</v>
      </c>
      <c r="B60" s="278">
        <v>53</v>
      </c>
      <c r="C60" s="214" t="e">
        <f>VLOOKUP(A60,#REF!,2,FALSE)</f>
        <v>#REF!</v>
      </c>
      <c r="D60" s="214" t="e">
        <f>VLOOKUP(A60,#REF!,3,FALSE)</f>
        <v>#REF!</v>
      </c>
      <c r="E60" s="186">
        <v>0.029664351851851855</v>
      </c>
      <c r="F60" s="215">
        <v>0.0236111111111111</v>
      </c>
      <c r="G60" s="186">
        <f t="shared" si="2"/>
        <v>0.006053240740740755</v>
      </c>
      <c r="H60" s="219">
        <v>20</v>
      </c>
      <c r="I60" s="210">
        <f t="shared" si="3"/>
        <v>61</v>
      </c>
    </row>
    <row r="61" spans="1:9" ht="15.75">
      <c r="A61" s="211">
        <v>333</v>
      </c>
      <c r="B61" s="213">
        <v>38</v>
      </c>
      <c r="C61" s="189" t="e">
        <f>VLOOKUP(A61,#REF!,2,FALSE)</f>
        <v>#REF!</v>
      </c>
      <c r="D61" s="189" t="e">
        <f>VLOOKUP(A61,#REF!,3,FALSE)</f>
        <v>#REF!</v>
      </c>
      <c r="E61" s="186">
        <v>0.02460648148148148</v>
      </c>
      <c r="F61" s="215">
        <v>0.0184027777777778</v>
      </c>
      <c r="G61" s="186">
        <f t="shared" si="2"/>
        <v>0.00620370370370368</v>
      </c>
      <c r="H61" s="219">
        <v>21</v>
      </c>
      <c r="I61" s="210">
        <f t="shared" si="3"/>
        <v>60</v>
      </c>
    </row>
    <row r="62" spans="1:9" ht="15.75">
      <c r="A62" s="14">
        <v>190</v>
      </c>
      <c r="B62" s="278">
        <v>59</v>
      </c>
      <c r="C62" s="214" t="e">
        <f>VLOOKUP(A62,#REF!,2,FALSE)</f>
        <v>#REF!</v>
      </c>
      <c r="D62" s="214" t="e">
        <f>VLOOKUP(A62,#REF!,3,FALSE)</f>
        <v>#REF!</v>
      </c>
      <c r="E62" s="186">
        <v>0.032060185185185185</v>
      </c>
      <c r="F62" s="215">
        <v>0.0256944444444445</v>
      </c>
      <c r="G62" s="186">
        <f t="shared" si="2"/>
        <v>0.006365740740740686</v>
      </c>
      <c r="H62" s="219">
        <v>22</v>
      </c>
      <c r="I62" s="210">
        <f t="shared" si="3"/>
        <v>59</v>
      </c>
    </row>
    <row r="63" spans="1:9" ht="15.75">
      <c r="A63" s="14">
        <v>27</v>
      </c>
      <c r="B63" s="222">
        <v>65</v>
      </c>
      <c r="C63" s="214" t="e">
        <f>VLOOKUP(A63,#REF!,2,FALSE)</f>
        <v>#REF!</v>
      </c>
      <c r="D63" s="214" t="e">
        <f>VLOOKUP(A63,#REF!,3,FALSE)</f>
        <v>#REF!</v>
      </c>
      <c r="E63" s="186">
        <v>0.03422453703703703</v>
      </c>
      <c r="F63" s="215">
        <v>0.0277777777777778</v>
      </c>
      <c r="G63" s="186">
        <f t="shared" si="2"/>
        <v>0.006446759259259232</v>
      </c>
      <c r="H63" s="219">
        <v>23</v>
      </c>
      <c r="I63" s="210">
        <f t="shared" si="3"/>
        <v>58</v>
      </c>
    </row>
    <row r="64" spans="1:9" ht="15.75">
      <c r="A64" s="14" t="s">
        <v>292</v>
      </c>
      <c r="B64" s="278">
        <v>63</v>
      </c>
      <c r="C64" s="214" t="e">
        <f>VLOOKUP(A64,#REF!,2,FALSE)</f>
        <v>#REF!</v>
      </c>
      <c r="D64" s="214" t="e">
        <f>VLOOKUP(A64,#REF!,3,FALSE)</f>
        <v>#REF!</v>
      </c>
      <c r="E64" s="186">
        <v>0.0340625</v>
      </c>
      <c r="F64" s="215">
        <v>0.0270833333333334</v>
      </c>
      <c r="G64" s="186">
        <f t="shared" si="2"/>
        <v>0.006979166666666602</v>
      </c>
      <c r="H64" s="219">
        <v>24</v>
      </c>
      <c r="I64" s="210">
        <f t="shared" si="3"/>
        <v>57</v>
      </c>
    </row>
    <row r="65" spans="1:9" ht="15.75">
      <c r="A65" s="211">
        <v>32</v>
      </c>
      <c r="B65" s="187">
        <v>37</v>
      </c>
      <c r="C65" s="189" t="e">
        <f>VLOOKUP(A65,#REF!,2,FALSE)</f>
        <v>#REF!</v>
      </c>
      <c r="D65" s="189" t="e">
        <f>VLOOKUP(A65,#REF!,3,FALSE)</f>
        <v>#REF!</v>
      </c>
      <c r="E65" s="186">
        <v>0.0250462962962963</v>
      </c>
      <c r="F65" s="215">
        <v>0.0180555555555556</v>
      </c>
      <c r="G65" s="186">
        <f t="shared" si="2"/>
        <v>0.0069907407407407</v>
      </c>
      <c r="H65" s="219">
        <v>25</v>
      </c>
      <c r="I65" s="210">
        <f t="shared" si="3"/>
        <v>56</v>
      </c>
    </row>
    <row r="66" spans="1:9" ht="15.75">
      <c r="A66" s="211">
        <v>9</v>
      </c>
      <c r="B66" s="276">
        <v>29</v>
      </c>
      <c r="C66" s="189" t="e">
        <f>VLOOKUP(A66,#REF!,2,FALSE)</f>
        <v>#REF!</v>
      </c>
      <c r="D66" s="189" t="e">
        <f>VLOOKUP(A66,#REF!,3,FALSE)</f>
        <v>#REF!</v>
      </c>
      <c r="E66" s="220">
        <v>0.022569444444444444</v>
      </c>
      <c r="F66" s="215">
        <v>0.015277777777777777</v>
      </c>
      <c r="G66" s="186">
        <f t="shared" si="2"/>
        <v>0.007291666666666667</v>
      </c>
      <c r="H66" s="219">
        <v>26</v>
      </c>
      <c r="I66" s="210">
        <f t="shared" si="3"/>
        <v>55</v>
      </c>
    </row>
    <row r="67" spans="1:9" ht="15.75">
      <c r="A67" s="14">
        <v>175</v>
      </c>
      <c r="B67" s="221">
        <v>58</v>
      </c>
      <c r="C67" s="214" t="e">
        <f>VLOOKUP(A67,#REF!,2,FALSE)</f>
        <v>#REF!</v>
      </c>
      <c r="D67" s="214" t="e">
        <f>VLOOKUP(A67,#REF!,3,FALSE)</f>
        <v>#REF!</v>
      </c>
      <c r="E67" s="186">
        <v>0.032870370370370376</v>
      </c>
      <c r="F67" s="215">
        <v>0.0253472222222223</v>
      </c>
      <c r="G67" s="186">
        <f t="shared" si="2"/>
        <v>0.0075231481481480775</v>
      </c>
      <c r="H67" s="219">
        <v>27</v>
      </c>
      <c r="I67" s="210">
        <f t="shared" si="3"/>
        <v>54</v>
      </c>
    </row>
    <row r="68" spans="1:9" ht="15.75">
      <c r="A68" s="211">
        <v>12</v>
      </c>
      <c r="B68" s="188">
        <v>32</v>
      </c>
      <c r="C68" s="189" t="e">
        <f>VLOOKUP(A68,#REF!,2,FALSE)</f>
        <v>#REF!</v>
      </c>
      <c r="D68" s="189" t="e">
        <f>VLOOKUP(A68,#REF!,3,FALSE)</f>
        <v>#REF!</v>
      </c>
      <c r="E68" s="186">
        <v>0.02395833333333333</v>
      </c>
      <c r="F68" s="215">
        <v>0.0163194444444444</v>
      </c>
      <c r="G68" s="186">
        <f t="shared" si="2"/>
        <v>0.007638888888888931</v>
      </c>
      <c r="H68" s="219">
        <v>28</v>
      </c>
      <c r="I68" s="210">
        <f t="shared" si="3"/>
        <v>53</v>
      </c>
    </row>
    <row r="69" spans="1:9" ht="15.75">
      <c r="A69" s="14">
        <v>194</v>
      </c>
      <c r="B69" s="221">
        <v>54</v>
      </c>
      <c r="C69" s="214" t="e">
        <f>VLOOKUP(A69,#REF!,2,FALSE)</f>
        <v>#REF!</v>
      </c>
      <c r="D69" s="214" t="e">
        <f>VLOOKUP(A69,#REF!,3,FALSE)</f>
        <v>#REF!</v>
      </c>
      <c r="E69" s="186">
        <v>0.03166666666666667</v>
      </c>
      <c r="F69" s="215">
        <v>0.0239583333333333</v>
      </c>
      <c r="G69" s="186">
        <f t="shared" si="2"/>
        <v>0.007708333333333369</v>
      </c>
      <c r="H69" s="219">
        <v>29</v>
      </c>
      <c r="I69" s="210">
        <f t="shared" si="3"/>
        <v>52</v>
      </c>
    </row>
    <row r="70" spans="1:9" ht="15.75">
      <c r="A70" s="14">
        <v>14</v>
      </c>
      <c r="B70" s="223">
        <v>60</v>
      </c>
      <c r="C70" s="214" t="e">
        <f>VLOOKUP(A70,#REF!,2,FALSE)</f>
        <v>#REF!</v>
      </c>
      <c r="D70" s="214" t="e">
        <f>VLOOKUP(A70,#REF!,3,FALSE)</f>
        <v>#REF!</v>
      </c>
      <c r="E70" s="186">
        <v>0.034374999999999996</v>
      </c>
      <c r="F70" s="215">
        <v>0.0260416666666667</v>
      </c>
      <c r="G70" s="186">
        <f t="shared" si="2"/>
        <v>0.008333333333333297</v>
      </c>
      <c r="H70" s="219">
        <v>30</v>
      </c>
      <c r="I70" s="210">
        <f t="shared" si="3"/>
        <v>51</v>
      </c>
    </row>
    <row r="71" spans="1:9" ht="15.75">
      <c r="A71" s="14">
        <v>46</v>
      </c>
      <c r="B71" s="221">
        <v>46</v>
      </c>
      <c r="C71" s="214" t="e">
        <f>VLOOKUP(A71,#REF!,2,FALSE)</f>
        <v>#REF!</v>
      </c>
      <c r="D71" s="214" t="e">
        <f>VLOOKUP(A71,#REF!,3,FALSE)</f>
        <v>#REF!</v>
      </c>
      <c r="E71" s="186">
        <v>0.02960648148148148</v>
      </c>
      <c r="F71" s="215">
        <v>0.0211805555555556</v>
      </c>
      <c r="G71" s="186">
        <f t="shared" si="2"/>
        <v>0.008425925925925882</v>
      </c>
      <c r="H71" s="219">
        <v>31</v>
      </c>
      <c r="I71" s="210">
        <f t="shared" si="3"/>
        <v>50</v>
      </c>
    </row>
    <row r="72" spans="1:9" ht="15.75">
      <c r="A72" s="14">
        <v>39</v>
      </c>
      <c r="B72" s="223">
        <v>44</v>
      </c>
      <c r="C72" s="214" t="e">
        <f>VLOOKUP(A72,#REF!,2,FALSE)</f>
        <v>#REF!</v>
      </c>
      <c r="D72" s="214" t="e">
        <f>VLOOKUP(A72,#REF!,3,FALSE)</f>
        <v>#REF!</v>
      </c>
      <c r="E72" s="186">
        <v>0.028958333333333336</v>
      </c>
      <c r="F72" s="215">
        <v>0.0204861111111111</v>
      </c>
      <c r="G72" s="186">
        <f t="shared" si="2"/>
        <v>0.008472222222222235</v>
      </c>
      <c r="H72" s="219">
        <v>32</v>
      </c>
      <c r="I72" s="210">
        <f t="shared" si="3"/>
        <v>49</v>
      </c>
    </row>
    <row r="73" spans="1:9" ht="15.75">
      <c r="A73" s="14" t="s">
        <v>229</v>
      </c>
      <c r="B73" s="221">
        <v>52</v>
      </c>
      <c r="C73" s="214" t="e">
        <f>VLOOKUP(A73,#REF!,2,FALSE)</f>
        <v>#REF!</v>
      </c>
      <c r="D73" s="214" t="e">
        <f>VLOOKUP(A73,#REF!,3,FALSE)</f>
        <v>#REF!</v>
      </c>
      <c r="E73" s="186">
        <v>0.031782407407407405</v>
      </c>
      <c r="F73" s="215">
        <v>0.0232638888888889</v>
      </c>
      <c r="G73" s="186">
        <f t="shared" si="2"/>
        <v>0.008518518518518505</v>
      </c>
      <c r="H73" s="219">
        <v>33</v>
      </c>
      <c r="I73" s="210">
        <f t="shared" si="3"/>
        <v>48</v>
      </c>
    </row>
    <row r="74" spans="1:9" ht="15.75">
      <c r="A74" s="211">
        <v>41</v>
      </c>
      <c r="B74" s="188">
        <v>36</v>
      </c>
      <c r="C74" s="189" t="e">
        <f>VLOOKUP(A74,#REF!,2,FALSE)</f>
        <v>#REF!</v>
      </c>
      <c r="D74" s="189" t="e">
        <f>VLOOKUP(A74,#REF!,3,FALSE)</f>
        <v>#REF!</v>
      </c>
      <c r="E74" s="186">
        <v>0.026377314814814815</v>
      </c>
      <c r="F74" s="215">
        <v>0.0177083333333333</v>
      </c>
      <c r="G74" s="186">
        <f t="shared" si="2"/>
        <v>0.008668981481481514</v>
      </c>
      <c r="H74" s="219">
        <v>34</v>
      </c>
      <c r="I74" s="210">
        <f t="shared" si="3"/>
        <v>47</v>
      </c>
    </row>
    <row r="75" spans="1:9" ht="15.75">
      <c r="A75" s="211">
        <v>30</v>
      </c>
      <c r="B75" s="187">
        <v>35</v>
      </c>
      <c r="C75" s="189" t="e">
        <f>VLOOKUP(A75,#REF!,2,FALSE)</f>
        <v>#REF!</v>
      </c>
      <c r="D75" s="189" t="e">
        <f>VLOOKUP(A75,#REF!,3,FALSE)</f>
        <v>#REF!</v>
      </c>
      <c r="E75" s="186">
        <v>0.02702546296296296</v>
      </c>
      <c r="F75" s="215">
        <v>0.0173611111111111</v>
      </c>
      <c r="G75" s="186">
        <f t="shared" si="2"/>
        <v>0.009664351851851858</v>
      </c>
      <c r="H75" s="219">
        <v>35</v>
      </c>
      <c r="I75" s="210">
        <f t="shared" si="3"/>
        <v>46</v>
      </c>
    </row>
    <row r="76" spans="1:9" ht="15.75">
      <c r="A76" s="14">
        <v>7</v>
      </c>
      <c r="B76" s="278">
        <v>45</v>
      </c>
      <c r="C76" s="214" t="e">
        <f>VLOOKUP(A76,#REF!,2,FALSE)</f>
        <v>#REF!</v>
      </c>
      <c r="D76" s="214" t="e">
        <f>VLOOKUP(A76,#REF!,3,FALSE)</f>
        <v>#REF!</v>
      </c>
      <c r="E76" s="186">
        <v>0.03119212962962963</v>
      </c>
      <c r="F76" s="215">
        <v>0.0208333333333333</v>
      </c>
      <c r="G76" s="186">
        <f t="shared" si="2"/>
        <v>0.010358796296296328</v>
      </c>
      <c r="H76" s="219">
        <v>36</v>
      </c>
      <c r="I76" s="210">
        <f t="shared" si="3"/>
        <v>45</v>
      </c>
    </row>
    <row r="77" spans="1:9" ht="15.75">
      <c r="A77" s="211">
        <v>13</v>
      </c>
      <c r="B77" s="280">
        <v>33</v>
      </c>
      <c r="C77" s="189" t="e">
        <f>VLOOKUP(A77,#REF!,2,FALSE)</f>
        <v>#REF!</v>
      </c>
      <c r="D77" s="189" t="e">
        <f>VLOOKUP(A77,#REF!,3,FALSE)</f>
        <v>#REF!</v>
      </c>
      <c r="E77" s="186">
        <v>0.027604166666666666</v>
      </c>
      <c r="F77" s="215">
        <v>0.0166666666666667</v>
      </c>
      <c r="G77" s="186">
        <f t="shared" si="2"/>
        <v>0.010937499999999965</v>
      </c>
      <c r="H77" s="217">
        <v>37</v>
      </c>
      <c r="I77" s="218">
        <f t="shared" si="3"/>
        <v>44</v>
      </c>
    </row>
    <row r="78" spans="1:9" ht="15.75">
      <c r="A78" s="14">
        <v>36</v>
      </c>
      <c r="B78" s="277">
        <v>43</v>
      </c>
      <c r="C78" s="214" t="e">
        <f>VLOOKUP(A78,#REF!,2,FALSE)</f>
        <v>#REF!</v>
      </c>
      <c r="D78" s="214" t="e">
        <f>VLOOKUP(A78,#REF!,3,FALSE)</f>
        <v>#REF!</v>
      </c>
      <c r="E78" s="186">
        <v>0.03333333333333333</v>
      </c>
      <c r="F78" s="215">
        <v>0.0201388888888889</v>
      </c>
      <c r="G78" s="186">
        <f t="shared" si="2"/>
        <v>0.013194444444444432</v>
      </c>
      <c r="H78" s="219">
        <v>38</v>
      </c>
      <c r="I78" s="210">
        <f t="shared" si="3"/>
        <v>43</v>
      </c>
    </row>
    <row r="79" spans="1:9" ht="15.75">
      <c r="A79" s="14">
        <v>181</v>
      </c>
      <c r="B79" s="279">
        <v>50</v>
      </c>
      <c r="C79" s="214" t="e">
        <f>VLOOKUP(A79,#REF!,2,FALSE)</f>
        <v>#REF!</v>
      </c>
      <c r="D79" s="214" t="e">
        <f>VLOOKUP(A79,#REF!,3,FALSE)</f>
        <v>#REF!</v>
      </c>
      <c r="E79" s="186">
        <v>0.03582175925925926</v>
      </c>
      <c r="F79" s="215">
        <v>0.0225694444444445</v>
      </c>
      <c r="G79" s="186">
        <f t="shared" si="2"/>
        <v>0.013252314814814762</v>
      </c>
      <c r="H79" s="219">
        <v>39</v>
      </c>
      <c r="I79" s="210">
        <f t="shared" si="3"/>
        <v>42</v>
      </c>
    </row>
  </sheetData>
  <sheetProtection/>
  <mergeCells count="4">
    <mergeCell ref="A1:H1"/>
    <mergeCell ref="A3:H3"/>
    <mergeCell ref="C4:D4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1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7.8515625" style="165" customWidth="1"/>
    <col min="2" max="2" width="27.140625" style="0" customWidth="1"/>
    <col min="3" max="3" width="17.28125" style="0" customWidth="1"/>
    <col min="4" max="4" width="12.7109375" style="0" bestFit="1" customWidth="1"/>
    <col min="5" max="7" width="12.7109375" style="0" customWidth="1"/>
    <col min="8" max="8" width="20.28125" style="0" customWidth="1"/>
  </cols>
  <sheetData>
    <row r="1" spans="2:3" ht="15.75">
      <c r="B1" s="10" t="s">
        <v>101</v>
      </c>
      <c r="C1" s="10"/>
    </row>
    <row r="2" spans="1:3" ht="15.75">
      <c r="A2" s="166"/>
      <c r="B2" s="26"/>
      <c r="C2" s="26"/>
    </row>
    <row r="3" spans="1:8" ht="32.25" thickBot="1">
      <c r="A3" s="167" t="s">
        <v>66</v>
      </c>
      <c r="B3" s="136" t="s">
        <v>54</v>
      </c>
      <c r="C3" s="136" t="s">
        <v>0</v>
      </c>
      <c r="D3" s="136" t="s">
        <v>1</v>
      </c>
      <c r="E3" s="136"/>
      <c r="F3" s="136"/>
      <c r="G3" s="146" t="s">
        <v>32</v>
      </c>
      <c r="H3" s="136" t="s">
        <v>0</v>
      </c>
    </row>
    <row r="4" spans="1:8" ht="17.25" thickBot="1" thickTop="1">
      <c r="A4" s="168">
        <v>9</v>
      </c>
      <c r="B4" s="139" t="s">
        <v>111</v>
      </c>
      <c r="C4" s="139" t="s">
        <v>44</v>
      </c>
      <c r="D4" s="139" t="e">
        <f>VLOOKUP(A4,#REF!,15,FALSE)</f>
        <v>#REF!</v>
      </c>
      <c r="E4" s="139"/>
      <c r="F4" s="139"/>
      <c r="G4" s="141"/>
      <c r="H4" s="142"/>
    </row>
    <row r="5" spans="1:8" ht="16.5" thickTop="1">
      <c r="A5" s="169"/>
      <c r="B5" s="47"/>
      <c r="C5" s="47"/>
      <c r="D5" s="139"/>
      <c r="E5" s="47"/>
      <c r="F5" s="47"/>
      <c r="G5" s="14"/>
      <c r="H5" s="66"/>
    </row>
    <row r="6" spans="1:8" s="175" customFormat="1" ht="19.5" thickBot="1">
      <c r="A6" s="170"/>
      <c r="B6" s="99"/>
      <c r="C6" s="99"/>
      <c r="D6" s="99"/>
      <c r="E6" s="99" t="e">
        <f>F6*10</f>
        <v>#REF!</v>
      </c>
      <c r="F6" s="99" t="e">
        <f>G6&amp;COUNTIF($G6:G$6,G6)</f>
        <v>#REF!</v>
      </c>
      <c r="G6" s="99" t="e">
        <f>SUM(D4:D5)</f>
        <v>#REF!</v>
      </c>
      <c r="H6" s="145" t="s">
        <v>44</v>
      </c>
    </row>
    <row r="7" spans="1:8" ht="19.5" thickBot="1" thickTop="1">
      <c r="A7" s="168">
        <v>22</v>
      </c>
      <c r="B7" s="139" t="s">
        <v>118</v>
      </c>
      <c r="C7" s="139" t="s">
        <v>23</v>
      </c>
      <c r="D7" s="139" t="e">
        <f>VLOOKUP(A7,#REF!,15,FALSE)</f>
        <v>#REF!</v>
      </c>
      <c r="E7" s="139"/>
      <c r="F7" s="139"/>
      <c r="G7" s="141"/>
      <c r="H7" s="207"/>
    </row>
    <row r="8" spans="1:8" ht="18.75" thickTop="1">
      <c r="A8" s="169">
        <v>23</v>
      </c>
      <c r="B8" s="47" t="s">
        <v>119</v>
      </c>
      <c r="C8" s="47" t="s">
        <v>23</v>
      </c>
      <c r="D8" s="139" t="e">
        <f>VLOOKUP(A8,#REF!,15,FALSE)</f>
        <v>#REF!</v>
      </c>
      <c r="E8" s="47"/>
      <c r="F8" s="47"/>
      <c r="G8" s="14"/>
      <c r="H8" s="208"/>
    </row>
    <row r="9" spans="1:8" ht="19.5" thickBot="1">
      <c r="A9" s="170"/>
      <c r="B9" s="99"/>
      <c r="C9" s="99"/>
      <c r="D9" s="99"/>
      <c r="E9" s="99" t="e">
        <f>F9*10</f>
        <v>#REF!</v>
      </c>
      <c r="F9" s="99" t="e">
        <f>G9&amp;COUNTIF($G$6:G9,G9)</f>
        <v>#REF!</v>
      </c>
      <c r="G9" s="99" t="e">
        <f>SUM(D7:D8)</f>
        <v>#REF!</v>
      </c>
      <c r="H9" s="145" t="s">
        <v>23</v>
      </c>
    </row>
    <row r="10" spans="1:8" ht="19.5" thickBot="1" thickTop="1">
      <c r="A10" s="168">
        <v>12</v>
      </c>
      <c r="B10" s="139" t="s">
        <v>126</v>
      </c>
      <c r="C10" s="139" t="s">
        <v>9</v>
      </c>
      <c r="D10" s="139" t="e">
        <f>VLOOKUP(A10,#REF!,15,FALSE)</f>
        <v>#REF!</v>
      </c>
      <c r="E10" s="139"/>
      <c r="F10" s="139"/>
      <c r="G10" s="141"/>
      <c r="H10" s="207"/>
    </row>
    <row r="11" spans="1:8" ht="18.75" thickTop="1">
      <c r="A11" s="169">
        <v>13</v>
      </c>
      <c r="B11" s="47" t="s">
        <v>127</v>
      </c>
      <c r="C11" s="47" t="s">
        <v>9</v>
      </c>
      <c r="D11" s="139" t="e">
        <f>VLOOKUP(A11,#REF!,15,FALSE)</f>
        <v>#REF!</v>
      </c>
      <c r="E11" s="47"/>
      <c r="F11" s="47"/>
      <c r="G11" s="14"/>
      <c r="H11" s="208"/>
    </row>
    <row r="12" spans="1:8" ht="19.5" thickBot="1">
      <c r="A12" s="170"/>
      <c r="B12" s="99"/>
      <c r="C12" s="99"/>
      <c r="D12" s="99"/>
      <c r="E12" s="99" t="e">
        <f>F12*10</f>
        <v>#REF!</v>
      </c>
      <c r="F12" s="99" t="e">
        <f>G12&amp;COUNTIF($G$6:G12,G12)</f>
        <v>#REF!</v>
      </c>
      <c r="G12" s="99" t="e">
        <f>SUM(D10:D11)</f>
        <v>#REF!</v>
      </c>
      <c r="H12" s="145" t="s">
        <v>9</v>
      </c>
    </row>
    <row r="13" spans="1:8" ht="19.5" thickBot="1" thickTop="1">
      <c r="A13" s="168">
        <v>33</v>
      </c>
      <c r="B13" s="139" t="s">
        <v>136</v>
      </c>
      <c r="C13" s="139" t="s">
        <v>22</v>
      </c>
      <c r="D13" s="139" t="e">
        <f>VLOOKUP(A13,#REF!,15,FALSE)</f>
        <v>#REF!</v>
      </c>
      <c r="E13" s="139"/>
      <c r="F13" s="139"/>
      <c r="G13" s="141"/>
      <c r="H13" s="207"/>
    </row>
    <row r="14" spans="1:8" ht="18.75" thickTop="1">
      <c r="A14" s="169"/>
      <c r="B14" s="47"/>
      <c r="C14" s="47"/>
      <c r="D14" s="139"/>
      <c r="E14" s="47"/>
      <c r="F14" s="47"/>
      <c r="G14" s="14"/>
      <c r="H14" s="208"/>
    </row>
    <row r="15" spans="1:8" ht="19.5" thickBot="1">
      <c r="A15" s="170"/>
      <c r="B15" s="99"/>
      <c r="C15" s="99"/>
      <c r="D15" s="99"/>
      <c r="E15" s="99" t="e">
        <f>F15*10</f>
        <v>#REF!</v>
      </c>
      <c r="F15" s="99" t="e">
        <f>G15&amp;COUNTIF($G$6:G15,G15)</f>
        <v>#REF!</v>
      </c>
      <c r="G15" s="99" t="e">
        <f>SUM(D13:D14)</f>
        <v>#REF!</v>
      </c>
      <c r="H15" s="145" t="s">
        <v>22</v>
      </c>
    </row>
    <row r="16" spans="1:8" ht="19.5" thickBot="1" thickTop="1">
      <c r="A16" s="168">
        <v>30</v>
      </c>
      <c r="B16" s="139" t="s">
        <v>137</v>
      </c>
      <c r="C16" s="139" t="s">
        <v>29</v>
      </c>
      <c r="D16" s="139" t="e">
        <f>VLOOKUP(A16,#REF!,15,FALSE)</f>
        <v>#REF!</v>
      </c>
      <c r="E16" s="139"/>
      <c r="F16" s="139"/>
      <c r="G16" s="141"/>
      <c r="H16" s="207"/>
    </row>
    <row r="17" spans="1:8" ht="18.75" thickTop="1">
      <c r="A17" s="169">
        <v>41</v>
      </c>
      <c r="B17" s="47" t="s">
        <v>138</v>
      </c>
      <c r="C17" s="47" t="s">
        <v>29</v>
      </c>
      <c r="D17" s="139" t="e">
        <f>VLOOKUP(A17,#REF!,15,FALSE)</f>
        <v>#REF!</v>
      </c>
      <c r="E17" s="47"/>
      <c r="F17" s="47"/>
      <c r="G17" s="14"/>
      <c r="H17" s="208"/>
    </row>
    <row r="18" spans="1:8" ht="19.5" thickBot="1">
      <c r="A18" s="170"/>
      <c r="B18" s="99"/>
      <c r="C18" s="99"/>
      <c r="D18" s="99"/>
      <c r="E18" s="99" t="e">
        <f>F18*10</f>
        <v>#REF!</v>
      </c>
      <c r="F18" s="99" t="e">
        <f>G18&amp;COUNTIF($G$6:G18,G18)</f>
        <v>#REF!</v>
      </c>
      <c r="G18" s="99" t="e">
        <f>SUM(D16:D17)</f>
        <v>#REF!</v>
      </c>
      <c r="H18" s="145" t="s">
        <v>29</v>
      </c>
    </row>
    <row r="19" spans="1:8" ht="19.5" thickBot="1" thickTop="1">
      <c r="A19" s="168">
        <v>32</v>
      </c>
      <c r="B19" s="139" t="s">
        <v>149</v>
      </c>
      <c r="C19" s="139" t="s">
        <v>11</v>
      </c>
      <c r="D19" s="139" t="e">
        <f>VLOOKUP(A19,#REF!,15,FALSE)</f>
        <v>#REF!</v>
      </c>
      <c r="E19" s="139"/>
      <c r="F19" s="139"/>
      <c r="G19" s="141"/>
      <c r="H19" s="207"/>
    </row>
    <row r="20" spans="1:8" ht="18.75" thickTop="1">
      <c r="A20" s="169">
        <v>333</v>
      </c>
      <c r="B20" s="47" t="s">
        <v>150</v>
      </c>
      <c r="C20" s="47" t="s">
        <v>11</v>
      </c>
      <c r="D20" s="139" t="e">
        <f>VLOOKUP(A20,#REF!,15,FALSE)</f>
        <v>#REF!</v>
      </c>
      <c r="E20" s="47"/>
      <c r="F20" s="47"/>
      <c r="G20" s="14"/>
      <c r="H20" s="208"/>
    </row>
    <row r="21" spans="1:8" ht="19.5" thickBot="1">
      <c r="A21" s="170"/>
      <c r="B21" s="99"/>
      <c r="C21" s="99"/>
      <c r="D21" s="99"/>
      <c r="E21" s="99" t="e">
        <f>F21*10</f>
        <v>#REF!</v>
      </c>
      <c r="F21" s="99" t="e">
        <f>G21&amp;COUNTIF($G$6:G21,G21)</f>
        <v>#REF!</v>
      </c>
      <c r="G21" s="99" t="e">
        <f>SUM(D19:D20)</f>
        <v>#REF!</v>
      </c>
      <c r="H21" s="145" t="s">
        <v>11</v>
      </c>
    </row>
    <row r="22" spans="1:8" ht="19.5" thickBot="1" thickTop="1">
      <c r="A22" s="168" t="s">
        <v>169</v>
      </c>
      <c r="B22" s="139" t="s">
        <v>162</v>
      </c>
      <c r="C22" s="139" t="s">
        <v>40</v>
      </c>
      <c r="D22" s="139" t="e">
        <f>VLOOKUP(A22,#REF!,15,FALSE)</f>
        <v>#REF!</v>
      </c>
      <c r="E22" s="139"/>
      <c r="F22" s="139"/>
      <c r="G22" s="141"/>
      <c r="H22" s="207"/>
    </row>
    <row r="23" spans="1:8" ht="19.5" thickBot="1" thickTop="1">
      <c r="A23" s="169" t="s">
        <v>170</v>
      </c>
      <c r="B23" s="47" t="s">
        <v>161</v>
      </c>
      <c r="C23" s="139" t="s">
        <v>40</v>
      </c>
      <c r="D23" s="139" t="e">
        <f>VLOOKUP(A23,#REF!,15,FALSE)</f>
        <v>#REF!</v>
      </c>
      <c r="E23" s="47"/>
      <c r="F23" s="47"/>
      <c r="G23" s="14"/>
      <c r="H23" s="208"/>
    </row>
    <row r="24" spans="1:8" ht="20.25" thickBot="1" thickTop="1">
      <c r="A24" s="170"/>
      <c r="B24" s="99"/>
      <c r="C24" s="99"/>
      <c r="D24" s="99"/>
      <c r="E24" s="99" t="e">
        <f>F24*10</f>
        <v>#REF!</v>
      </c>
      <c r="F24" s="99" t="e">
        <f>G24&amp;COUNTIF($G$6:G24,G24)</f>
        <v>#REF!</v>
      </c>
      <c r="G24" s="99" t="e">
        <f>SUM(D22:D23)</f>
        <v>#REF!</v>
      </c>
      <c r="H24" s="206" t="s">
        <v>40</v>
      </c>
    </row>
    <row r="25" spans="1:8" ht="20.25" thickBot="1" thickTop="1">
      <c r="A25" s="168">
        <v>20</v>
      </c>
      <c r="B25" s="139" t="s">
        <v>167</v>
      </c>
      <c r="C25" s="139" t="s">
        <v>24</v>
      </c>
      <c r="D25" s="139" t="e">
        <f>VLOOKUP(A25,#REF!,15,FALSE)</f>
        <v>#REF!</v>
      </c>
      <c r="E25" s="139"/>
      <c r="F25" s="139"/>
      <c r="G25" s="141"/>
      <c r="H25" s="209"/>
    </row>
    <row r="26" spans="1:8" ht="19.5" thickBot="1" thickTop="1">
      <c r="A26" s="169">
        <v>18</v>
      </c>
      <c r="B26" s="47" t="s">
        <v>168</v>
      </c>
      <c r="C26" s="139" t="s">
        <v>24</v>
      </c>
      <c r="D26" s="139" t="e">
        <f>VLOOKUP(A26,#REF!,15,FALSE)</f>
        <v>#REF!</v>
      </c>
      <c r="E26" s="47"/>
      <c r="F26" s="47"/>
      <c r="G26" s="14"/>
      <c r="H26" s="208"/>
    </row>
    <row r="27" spans="1:8" ht="20.25" thickBot="1" thickTop="1">
      <c r="A27" s="170"/>
      <c r="B27" s="99"/>
      <c r="C27" s="99"/>
      <c r="D27" s="99"/>
      <c r="E27" s="99" t="e">
        <f>F27*10</f>
        <v>#REF!</v>
      </c>
      <c r="F27" s="99" t="e">
        <f>G27&amp;COUNTIF($G$6:G27,G27)</f>
        <v>#REF!</v>
      </c>
      <c r="G27" s="99" t="e">
        <f>SUM(D25:D26)</f>
        <v>#REF!</v>
      </c>
      <c r="H27" s="206" t="s">
        <v>24</v>
      </c>
    </row>
    <row r="28" spans="1:8" ht="19.5" thickBot="1" thickTop="1">
      <c r="A28" s="168">
        <v>36</v>
      </c>
      <c r="B28" s="139" t="s">
        <v>175</v>
      </c>
      <c r="C28" s="139" t="s">
        <v>26</v>
      </c>
      <c r="D28" s="139" t="e">
        <f>VLOOKUP(A28,#REF!,15,FALSE)</f>
        <v>#REF!</v>
      </c>
      <c r="E28" s="139"/>
      <c r="F28" s="139"/>
      <c r="G28" s="141"/>
      <c r="H28" s="207"/>
    </row>
    <row r="29" spans="1:8" ht="18.75" thickTop="1">
      <c r="A29" s="169">
        <v>39</v>
      </c>
      <c r="B29" s="47" t="s">
        <v>176</v>
      </c>
      <c r="C29" s="139" t="s">
        <v>26</v>
      </c>
      <c r="D29" s="139" t="e">
        <f>VLOOKUP(A29,#REF!,15,FALSE)</f>
        <v>#REF!</v>
      </c>
      <c r="E29" s="47"/>
      <c r="F29" s="47"/>
      <c r="G29" s="14"/>
      <c r="H29" s="208"/>
    </row>
    <row r="30" spans="1:8" ht="19.5" thickBot="1">
      <c r="A30" s="170"/>
      <c r="B30" s="99"/>
      <c r="C30" s="99"/>
      <c r="D30" s="99"/>
      <c r="E30" s="99" t="e">
        <f>F30*10</f>
        <v>#REF!</v>
      </c>
      <c r="F30" s="99" t="e">
        <f>G30&amp;COUNTIF($G$6:G30,G30)</f>
        <v>#REF!</v>
      </c>
      <c r="G30" s="99" t="e">
        <f>SUM(D28:D29)</f>
        <v>#REF!</v>
      </c>
      <c r="H30" s="145" t="s">
        <v>26</v>
      </c>
    </row>
    <row r="31" spans="1:8" ht="19.5" thickBot="1" thickTop="1">
      <c r="A31" s="168">
        <v>7</v>
      </c>
      <c r="B31" s="139" t="s">
        <v>194</v>
      </c>
      <c r="C31" s="139" t="s">
        <v>20</v>
      </c>
      <c r="D31" s="139" t="e">
        <f>VLOOKUP(A31,#REF!,15,FALSE)</f>
        <v>#REF!</v>
      </c>
      <c r="E31" s="139"/>
      <c r="F31" s="139"/>
      <c r="G31" s="141"/>
      <c r="H31" s="207"/>
    </row>
    <row r="32" spans="1:8" ht="18.75" thickTop="1">
      <c r="A32" s="169">
        <v>46</v>
      </c>
      <c r="B32" s="47" t="s">
        <v>195</v>
      </c>
      <c r="C32" s="139" t="s">
        <v>20</v>
      </c>
      <c r="D32" s="139" t="e">
        <f>VLOOKUP(A32,#REF!,15,FALSE)</f>
        <v>#REF!</v>
      </c>
      <c r="E32" s="47"/>
      <c r="F32" s="47"/>
      <c r="G32" s="14"/>
      <c r="H32" s="208"/>
    </row>
    <row r="33" spans="1:8" ht="19.5" thickBot="1">
      <c r="A33" s="170"/>
      <c r="B33" s="99"/>
      <c r="C33" s="99"/>
      <c r="D33" s="99"/>
      <c r="E33" s="99" t="e">
        <f>F33*10</f>
        <v>#REF!</v>
      </c>
      <c r="F33" s="99" t="e">
        <f>G33&amp;COUNTIF($G$6:G33,G33)</f>
        <v>#REF!</v>
      </c>
      <c r="G33" s="99" t="e">
        <f>SUM(D31:D32)</f>
        <v>#REF!</v>
      </c>
      <c r="H33" s="145" t="s">
        <v>20</v>
      </c>
    </row>
    <row r="34" spans="1:8" ht="19.5" thickBot="1" thickTop="1">
      <c r="A34" s="168">
        <v>178</v>
      </c>
      <c r="B34" s="139" t="s">
        <v>222</v>
      </c>
      <c r="C34" s="139" t="s">
        <v>25</v>
      </c>
      <c r="D34" s="139" t="e">
        <f>VLOOKUP(A34,#REF!,15,FALSE)</f>
        <v>#REF!</v>
      </c>
      <c r="E34" s="139"/>
      <c r="F34" s="139"/>
      <c r="G34" s="141"/>
      <c r="H34" s="207"/>
    </row>
    <row r="35" spans="1:8" ht="18.75" thickTop="1">
      <c r="A35" s="169">
        <v>179</v>
      </c>
      <c r="B35" s="47" t="s">
        <v>223</v>
      </c>
      <c r="C35" s="139" t="s">
        <v>25</v>
      </c>
      <c r="D35" s="139" t="e">
        <f>VLOOKUP(A35,#REF!,15,FALSE)</f>
        <v>#REF!</v>
      </c>
      <c r="E35" s="47"/>
      <c r="F35" s="47"/>
      <c r="G35" s="14"/>
      <c r="H35" s="208"/>
    </row>
    <row r="36" spans="1:8" ht="19.5" thickBot="1">
      <c r="A36" s="170"/>
      <c r="B36" s="99"/>
      <c r="C36" s="99"/>
      <c r="D36" s="99"/>
      <c r="E36" s="99" t="e">
        <f>F36*10</f>
        <v>#REF!</v>
      </c>
      <c r="F36" s="99" t="e">
        <f>G36&amp;COUNTIF($G$6:G36,G36)</f>
        <v>#REF!</v>
      </c>
      <c r="G36" s="99" t="e">
        <f>SUM(D34:D35)</f>
        <v>#REF!</v>
      </c>
      <c r="H36" s="145" t="s">
        <v>25</v>
      </c>
    </row>
    <row r="37" spans="1:8" ht="19.5" thickBot="1" thickTop="1">
      <c r="A37" s="168">
        <v>180</v>
      </c>
      <c r="B37" s="139" t="s">
        <v>224</v>
      </c>
      <c r="C37" s="139" t="s">
        <v>5</v>
      </c>
      <c r="D37" s="139" t="e">
        <f>VLOOKUP(A37,#REF!,15,FALSE)</f>
        <v>#REF!</v>
      </c>
      <c r="E37" s="139"/>
      <c r="F37" s="139"/>
      <c r="G37" s="141"/>
      <c r="H37" s="207"/>
    </row>
    <row r="38" spans="1:8" ht="19.5" thickBot="1" thickTop="1">
      <c r="A38" s="169">
        <v>181</v>
      </c>
      <c r="B38" s="47" t="s">
        <v>225</v>
      </c>
      <c r="C38" s="139" t="s">
        <v>5</v>
      </c>
      <c r="D38" s="139" t="e">
        <f>VLOOKUP(A38,#REF!,15,FALSE)</f>
        <v>#REF!</v>
      </c>
      <c r="E38" s="47"/>
      <c r="F38" s="47"/>
      <c r="G38" s="14"/>
      <c r="H38" s="208"/>
    </row>
    <row r="39" spans="1:8" ht="20.25" thickBot="1" thickTop="1">
      <c r="A39" s="170"/>
      <c r="B39" s="99"/>
      <c r="C39" s="99"/>
      <c r="D39" s="99"/>
      <c r="E39" s="99" t="e">
        <f>F39*10</f>
        <v>#REF!</v>
      </c>
      <c r="F39" s="99" t="e">
        <f>G39&amp;COUNTIF($G$6:G39,G39)</f>
        <v>#REF!</v>
      </c>
      <c r="G39" s="99" t="e">
        <f>SUM(D37:D38)</f>
        <v>#REF!</v>
      </c>
      <c r="H39" s="206" t="s">
        <v>5</v>
      </c>
    </row>
    <row r="40" spans="1:8" ht="19.5" thickBot="1" thickTop="1">
      <c r="A40" s="168" t="s">
        <v>228</v>
      </c>
      <c r="B40" s="139" t="s">
        <v>226</v>
      </c>
      <c r="C40" s="139" t="s">
        <v>30</v>
      </c>
      <c r="D40" s="139" t="e">
        <f>VLOOKUP(A40,#REF!,15,FALSE)</f>
        <v>#REF!</v>
      </c>
      <c r="E40" s="139"/>
      <c r="F40" s="139"/>
      <c r="G40" s="141"/>
      <c r="H40" s="207"/>
    </row>
    <row r="41" spans="1:8" ht="19.5" thickBot="1" thickTop="1">
      <c r="A41" s="169" t="s">
        <v>229</v>
      </c>
      <c r="B41" s="47" t="s">
        <v>227</v>
      </c>
      <c r="C41" s="139" t="s">
        <v>30</v>
      </c>
      <c r="D41" s="139" t="e">
        <f>VLOOKUP(A41,#REF!,15,FALSE)</f>
        <v>#REF!</v>
      </c>
      <c r="E41" s="47"/>
      <c r="F41" s="47"/>
      <c r="G41" s="14"/>
      <c r="H41" s="208"/>
    </row>
    <row r="42" spans="1:8" ht="20.25" thickBot="1" thickTop="1">
      <c r="A42" s="170"/>
      <c r="B42" s="99"/>
      <c r="C42" s="99"/>
      <c r="D42" s="99"/>
      <c r="E42" s="99" t="e">
        <f>F42*10</f>
        <v>#REF!</v>
      </c>
      <c r="F42" s="99" t="e">
        <f>G42&amp;COUNTIF($G$6:G42,G42)</f>
        <v>#REF!</v>
      </c>
      <c r="G42" s="99" t="e">
        <f>SUM(D40:D41)</f>
        <v>#REF!</v>
      </c>
      <c r="H42" s="206" t="s">
        <v>30</v>
      </c>
    </row>
    <row r="43" spans="1:8" ht="19.5" thickBot="1" thickTop="1">
      <c r="A43" s="168">
        <v>193</v>
      </c>
      <c r="B43" s="139" t="s">
        <v>280</v>
      </c>
      <c r="C43" s="139" t="s">
        <v>28</v>
      </c>
      <c r="D43" s="139" t="e">
        <f>VLOOKUP(A43,#REF!,15,FALSE)</f>
        <v>#REF!</v>
      </c>
      <c r="E43" s="139"/>
      <c r="F43" s="139"/>
      <c r="G43" s="141"/>
      <c r="H43" s="207"/>
    </row>
    <row r="44" spans="1:8" ht="18.75" thickTop="1">
      <c r="A44" s="169">
        <v>194</v>
      </c>
      <c r="B44" s="47" t="s">
        <v>281</v>
      </c>
      <c r="C44" s="139" t="s">
        <v>28</v>
      </c>
      <c r="D44" s="139" t="e">
        <f>VLOOKUP(A44,#REF!,15,FALSE)</f>
        <v>#REF!</v>
      </c>
      <c r="E44" s="47"/>
      <c r="F44" s="47"/>
      <c r="G44" s="14"/>
      <c r="H44" s="208"/>
    </row>
    <row r="45" spans="1:8" ht="19.5" thickBot="1">
      <c r="A45" s="170"/>
      <c r="B45" s="99"/>
      <c r="D45" s="99"/>
      <c r="E45" s="99" t="e">
        <f>F45*10</f>
        <v>#REF!</v>
      </c>
      <c r="F45" s="99" t="e">
        <f>G45&amp;COUNTIF($G$6:G45,G45)</f>
        <v>#REF!</v>
      </c>
      <c r="G45" s="99" t="e">
        <f>SUM(D43:D44)</f>
        <v>#REF!</v>
      </c>
      <c r="H45" s="145" t="s">
        <v>28</v>
      </c>
    </row>
    <row r="46" spans="1:8" ht="19.5" thickBot="1" thickTop="1">
      <c r="A46" s="168">
        <v>184</v>
      </c>
      <c r="B46" s="139" t="s">
        <v>282</v>
      </c>
      <c r="C46" s="99" t="s">
        <v>43</v>
      </c>
      <c r="D46" s="139" t="e">
        <f>VLOOKUP(A46,#REF!,15,FALSE)</f>
        <v>#REF!</v>
      </c>
      <c r="E46" s="139"/>
      <c r="F46" s="139"/>
      <c r="G46" s="141"/>
      <c r="H46" s="207"/>
    </row>
    <row r="47" spans="1:8" ht="19.5" thickBot="1" thickTop="1">
      <c r="A47" s="169">
        <v>185</v>
      </c>
      <c r="B47" s="47" t="s">
        <v>283</v>
      </c>
      <c r="C47" s="99" t="s">
        <v>43</v>
      </c>
      <c r="D47" s="139" t="e">
        <f>VLOOKUP(A47,#REF!,15,FALSE)</f>
        <v>#REF!</v>
      </c>
      <c r="E47" s="47"/>
      <c r="F47" s="47"/>
      <c r="G47" s="14"/>
      <c r="H47" s="208"/>
    </row>
    <row r="48" spans="1:8" ht="20.25" thickBot="1" thickTop="1">
      <c r="A48" s="170"/>
      <c r="B48" s="99"/>
      <c r="C48" s="99"/>
      <c r="D48" s="99"/>
      <c r="E48" s="99" t="e">
        <f>F48*10</f>
        <v>#REF!</v>
      </c>
      <c r="F48" s="99" t="e">
        <f>G48&amp;COUNTIF($G$6:G48,G48)</f>
        <v>#REF!</v>
      </c>
      <c r="G48" s="99" t="e">
        <f>SUM(D46:D47)</f>
        <v>#REF!</v>
      </c>
      <c r="H48" s="145" t="s">
        <v>43</v>
      </c>
    </row>
    <row r="49" spans="1:8" ht="19.5" thickBot="1" thickTop="1">
      <c r="A49" s="168">
        <v>174</v>
      </c>
      <c r="B49" s="139" t="s">
        <v>284</v>
      </c>
      <c r="C49" s="139" t="s">
        <v>3</v>
      </c>
      <c r="D49" s="139" t="e">
        <f>VLOOKUP(A49,#REF!,15,FALSE)</f>
        <v>#REF!</v>
      </c>
      <c r="E49" s="139"/>
      <c r="F49" s="139"/>
      <c r="G49" s="141"/>
      <c r="H49" s="207"/>
    </row>
    <row r="50" spans="1:8" ht="18.75" thickTop="1">
      <c r="A50" s="169">
        <v>175</v>
      </c>
      <c r="B50" s="47" t="s">
        <v>285</v>
      </c>
      <c r="C50" s="139" t="s">
        <v>3</v>
      </c>
      <c r="D50" s="139" t="e">
        <f>VLOOKUP(A50,#REF!,15,FALSE)</f>
        <v>#REF!</v>
      </c>
      <c r="E50" s="47"/>
      <c r="F50" s="47"/>
      <c r="G50" s="14"/>
      <c r="H50" s="208"/>
    </row>
    <row r="51" spans="1:8" ht="19.5" thickBot="1">
      <c r="A51" s="170"/>
      <c r="B51" s="99"/>
      <c r="C51" s="99"/>
      <c r="D51" s="99"/>
      <c r="E51" s="99" t="e">
        <f>F51*10</f>
        <v>#REF!</v>
      </c>
      <c r="F51" s="99" t="e">
        <f>G51&amp;COUNTIF($G$6:G51,G51)</f>
        <v>#REF!</v>
      </c>
      <c r="G51" s="99" t="e">
        <f>SUM(D49:D50)</f>
        <v>#REF!</v>
      </c>
      <c r="H51" s="145" t="s">
        <v>3</v>
      </c>
    </row>
    <row r="52" spans="1:8" ht="19.5" thickBot="1" thickTop="1">
      <c r="A52" s="168">
        <v>190</v>
      </c>
      <c r="B52" s="139" t="s">
        <v>286</v>
      </c>
      <c r="C52" s="139" t="s">
        <v>19</v>
      </c>
      <c r="D52" s="139" t="e">
        <f>VLOOKUP(A52,#REF!,15,FALSE)</f>
        <v>#REF!</v>
      </c>
      <c r="E52" s="139"/>
      <c r="F52" s="139"/>
      <c r="G52" s="141"/>
      <c r="H52" s="207"/>
    </row>
    <row r="53" spans="1:8" ht="18.75" thickTop="1">
      <c r="A53" s="169"/>
      <c r="B53" s="47"/>
      <c r="C53" s="47"/>
      <c r="D53" s="139"/>
      <c r="E53" s="47"/>
      <c r="F53" s="47"/>
      <c r="G53" s="14"/>
      <c r="H53" s="208"/>
    </row>
    <row r="54" spans="1:8" ht="19.5" thickBot="1">
      <c r="A54" s="170"/>
      <c r="B54" s="99"/>
      <c r="C54" s="99"/>
      <c r="D54" s="99"/>
      <c r="E54" s="99" t="e">
        <f>F54*10</f>
        <v>#REF!</v>
      </c>
      <c r="F54" s="99" t="e">
        <f>G54&amp;COUNTIF($G$6:G54,G54)</f>
        <v>#REF!</v>
      </c>
      <c r="G54" s="99" t="e">
        <f>SUM(D52:D53)</f>
        <v>#REF!</v>
      </c>
      <c r="H54" s="145" t="s">
        <v>19</v>
      </c>
    </row>
    <row r="55" spans="1:8" ht="19.5" thickBot="1" thickTop="1">
      <c r="A55" s="168">
        <v>14</v>
      </c>
      <c r="B55" s="139" t="s">
        <v>287</v>
      </c>
      <c r="C55" s="139" t="s">
        <v>38</v>
      </c>
      <c r="D55" s="139">
        <f>VLOOKUP(A55,'лич дояры'!$A$6:$O$67,15,FALSE)</f>
        <v>72</v>
      </c>
      <c r="E55" s="139"/>
      <c r="F55" s="139"/>
      <c r="G55" s="141"/>
      <c r="H55" s="207"/>
    </row>
    <row r="56" spans="1:8" ht="18.75" thickTop="1">
      <c r="A56" s="169">
        <v>15</v>
      </c>
      <c r="B56" s="47" t="s">
        <v>288</v>
      </c>
      <c r="C56" s="139" t="s">
        <v>38</v>
      </c>
      <c r="D56" s="47">
        <f>VLOOKUP(A56,'лич дояры'!$A$6:$O$67,15,FALSE)</f>
        <v>51</v>
      </c>
      <c r="E56" s="47"/>
      <c r="F56" s="47"/>
      <c r="G56" s="14"/>
      <c r="H56" s="208"/>
    </row>
    <row r="57" spans="1:8" ht="19.5" thickBot="1">
      <c r="A57" s="170"/>
      <c r="B57" s="99"/>
      <c r="C57" s="99"/>
      <c r="D57" s="99"/>
      <c r="E57" s="99">
        <f>F57*10</f>
        <v>12310</v>
      </c>
      <c r="F57" s="99" t="str">
        <f>G57&amp;COUNTIF($G$6:G57,G57)</f>
        <v>1231</v>
      </c>
      <c r="G57" s="99">
        <f>SUM(D55:D56)</f>
        <v>123</v>
      </c>
      <c r="H57" s="145" t="s">
        <v>38</v>
      </c>
    </row>
    <row r="58" spans="1:8" ht="19.5" thickBot="1" thickTop="1">
      <c r="A58" s="168" t="s">
        <v>291</v>
      </c>
      <c r="B58" s="139" t="s">
        <v>289</v>
      </c>
      <c r="C58" s="139" t="s">
        <v>45</v>
      </c>
      <c r="D58" s="139" t="e">
        <f>VLOOKUP(A58,#REF!,15,FALSE)</f>
        <v>#REF!</v>
      </c>
      <c r="E58" s="139"/>
      <c r="F58" s="139"/>
      <c r="G58" s="141"/>
      <c r="H58" s="207"/>
    </row>
    <row r="59" spans="1:8" ht="18.75" thickTop="1">
      <c r="A59" s="169" t="s">
        <v>292</v>
      </c>
      <c r="B59" s="47" t="s">
        <v>290</v>
      </c>
      <c r="C59" s="139" t="s">
        <v>45</v>
      </c>
      <c r="D59" s="139" t="e">
        <f>VLOOKUP(A59,#REF!,15,FALSE)</f>
        <v>#REF!</v>
      </c>
      <c r="E59" s="47"/>
      <c r="F59" s="47"/>
      <c r="G59" s="14"/>
      <c r="H59" s="208"/>
    </row>
    <row r="60" spans="1:8" ht="19.5" thickBot="1">
      <c r="A60" s="170"/>
      <c r="B60" s="99"/>
      <c r="C60" s="99"/>
      <c r="D60" s="99"/>
      <c r="E60" s="99" t="e">
        <f>F60*10</f>
        <v>#REF!</v>
      </c>
      <c r="F60" s="99" t="e">
        <f>G60&amp;COUNTIF($G$6:G60,G60)</f>
        <v>#REF!</v>
      </c>
      <c r="G60" s="99" t="e">
        <f>SUM(D58:D59)</f>
        <v>#REF!</v>
      </c>
      <c r="H60" s="145" t="s">
        <v>45</v>
      </c>
    </row>
    <row r="61" spans="1:8" ht="19.5" thickBot="1" thickTop="1">
      <c r="A61" s="168">
        <v>26</v>
      </c>
      <c r="B61" s="139" t="s">
        <v>295</v>
      </c>
      <c r="C61" s="139" t="s">
        <v>21</v>
      </c>
      <c r="D61" s="139" t="e">
        <f>VLOOKUP(A61,#REF!,15,FALSE)</f>
        <v>#REF!</v>
      </c>
      <c r="E61" s="139"/>
      <c r="F61" s="139"/>
      <c r="G61" s="141"/>
      <c r="H61" s="207"/>
    </row>
    <row r="62" spans="1:8" ht="19.5" thickBot="1" thickTop="1">
      <c r="A62" s="169">
        <v>27</v>
      </c>
      <c r="B62" s="47" t="s">
        <v>296</v>
      </c>
      <c r="C62" s="139" t="s">
        <v>21</v>
      </c>
      <c r="D62" s="139" t="e">
        <f>VLOOKUP(A62,#REF!,15,FALSE)</f>
        <v>#REF!</v>
      </c>
      <c r="E62" s="47"/>
      <c r="F62" s="47"/>
      <c r="G62" s="14"/>
      <c r="H62" s="208"/>
    </row>
    <row r="63" spans="1:8" ht="20.25" thickBot="1" thickTop="1">
      <c r="A63" s="170"/>
      <c r="B63" s="99"/>
      <c r="C63" s="99"/>
      <c r="D63" s="99"/>
      <c r="E63" s="99" t="e">
        <f>F63*10</f>
        <v>#REF!</v>
      </c>
      <c r="F63" s="99" t="e">
        <f>G63&amp;COUNTIF($G$6:G63,G63)</f>
        <v>#REF!</v>
      </c>
      <c r="G63" s="99" t="e">
        <f>SUM(D61:D62)</f>
        <v>#REF!</v>
      </c>
      <c r="H63" s="206" t="s">
        <v>21</v>
      </c>
    </row>
    <row r="64" spans="1:8" ht="19.5" thickBot="1" thickTop="1">
      <c r="A64" s="168">
        <v>1</v>
      </c>
      <c r="B64" s="139" t="s">
        <v>297</v>
      </c>
      <c r="C64" s="139" t="s">
        <v>27</v>
      </c>
      <c r="D64" s="139" t="e">
        <f>VLOOKUP(A64,#REF!,15,FALSE)</f>
        <v>#REF!</v>
      </c>
      <c r="E64" s="139"/>
      <c r="F64" s="139"/>
      <c r="G64" s="141"/>
      <c r="H64" s="207"/>
    </row>
    <row r="65" spans="1:8" ht="18.75" thickTop="1">
      <c r="A65" s="169">
        <v>2</v>
      </c>
      <c r="B65" s="47" t="s">
        <v>298</v>
      </c>
      <c r="C65" s="139" t="s">
        <v>27</v>
      </c>
      <c r="D65" s="139" t="e">
        <f>VLOOKUP(A65,#REF!,15,FALSE)</f>
        <v>#REF!</v>
      </c>
      <c r="E65" s="47"/>
      <c r="F65" s="47"/>
      <c r="G65" s="14"/>
      <c r="H65" s="208"/>
    </row>
    <row r="66" spans="1:8" ht="19.5" thickBot="1">
      <c r="A66" s="170"/>
      <c r="B66" s="99"/>
      <c r="C66" s="99"/>
      <c r="D66" s="99"/>
      <c r="E66" s="99" t="e">
        <f>F66*10</f>
        <v>#REF!</v>
      </c>
      <c r="F66" s="99" t="e">
        <f>G66&amp;COUNTIF($G$6:G66,G66)</f>
        <v>#REF!</v>
      </c>
      <c r="G66" s="99" t="e">
        <f>SUM(D64:D65)</f>
        <v>#REF!</v>
      </c>
      <c r="H66" s="145" t="s">
        <v>27</v>
      </c>
    </row>
    <row r="67" spans="1:8" ht="18.75" thickTop="1">
      <c r="A67" s="168"/>
      <c r="B67" s="139"/>
      <c r="C67" s="139"/>
      <c r="D67" s="139"/>
      <c r="E67" s="139"/>
      <c r="F67" s="139"/>
      <c r="G67" s="141"/>
      <c r="H67" s="207"/>
    </row>
    <row r="68" spans="1:8" ht="18">
      <c r="A68" s="169"/>
      <c r="B68" s="47"/>
      <c r="C68" s="47"/>
      <c r="D68" s="47"/>
      <c r="E68" s="47"/>
      <c r="F68" s="47"/>
      <c r="G68" s="14"/>
      <c r="H68" s="208"/>
    </row>
    <row r="69" spans="1:8" ht="19.5" thickBot="1">
      <c r="A69" s="170"/>
      <c r="B69" s="99"/>
      <c r="C69" s="99"/>
      <c r="D69" s="99"/>
      <c r="E69" s="99"/>
      <c r="F69" s="99"/>
      <c r="G69" s="99"/>
      <c r="H69" s="145"/>
    </row>
    <row r="70" spans="1:8" ht="16.5" thickTop="1">
      <c r="A70" s="168"/>
      <c r="B70" s="139"/>
      <c r="C70" s="139"/>
      <c r="D70" s="139"/>
      <c r="E70" s="139"/>
      <c r="F70" s="139"/>
      <c r="G70" s="141"/>
      <c r="H70" s="142"/>
    </row>
    <row r="71" spans="1:8" ht="15.75">
      <c r="A71" s="169"/>
      <c r="B71" s="47"/>
      <c r="C71" s="47"/>
      <c r="D71" s="47"/>
      <c r="E71" s="47"/>
      <c r="F71" s="47"/>
      <c r="G71" s="14"/>
      <c r="H71" s="66"/>
    </row>
    <row r="72" spans="1:8" ht="19.5" thickBot="1">
      <c r="A72" s="170"/>
      <c r="B72" s="99"/>
      <c r="C72" s="99"/>
      <c r="D72" s="99"/>
      <c r="E72" s="99"/>
      <c r="F72" s="99"/>
      <c r="G72" s="99"/>
      <c r="H72" s="145"/>
    </row>
    <row r="73" spans="1:8" ht="16.5" thickTop="1">
      <c r="A73" s="168"/>
      <c r="B73" s="139"/>
      <c r="C73" s="139"/>
      <c r="D73" s="139"/>
      <c r="E73" s="139"/>
      <c r="F73" s="139"/>
      <c r="G73" s="141"/>
      <c r="H73" s="142"/>
    </row>
    <row r="74" spans="1:8" ht="15.75">
      <c r="A74" s="169"/>
      <c r="B74" s="47"/>
      <c r="C74" s="47"/>
      <c r="D74" s="47"/>
      <c r="E74" s="47"/>
      <c r="F74" s="47"/>
      <c r="G74" s="14"/>
      <c r="H74" s="66"/>
    </row>
    <row r="75" spans="1:8" ht="19.5" thickBot="1">
      <c r="A75" s="170"/>
      <c r="B75" s="99"/>
      <c r="C75" s="99"/>
      <c r="D75" s="99"/>
      <c r="E75" s="99"/>
      <c r="F75" s="99"/>
      <c r="G75" s="99"/>
      <c r="H75" s="145"/>
    </row>
    <row r="76" spans="1:8" ht="16.5" thickTop="1">
      <c r="A76" s="168"/>
      <c r="B76" s="139"/>
      <c r="C76" s="139"/>
      <c r="D76" s="139"/>
      <c r="E76" s="139"/>
      <c r="F76" s="139"/>
      <c r="G76" s="141"/>
      <c r="H76" s="142"/>
    </row>
    <row r="77" spans="1:8" ht="15.75">
      <c r="A77" s="169"/>
      <c r="B77" s="47"/>
      <c r="C77" s="47"/>
      <c r="D77" s="47"/>
      <c r="E77" s="47"/>
      <c r="F77" s="47"/>
      <c r="G77" s="14"/>
      <c r="H77" s="66"/>
    </row>
    <row r="78" spans="1:8" ht="19.5" thickBot="1">
      <c r="A78" s="170"/>
      <c r="B78" s="99"/>
      <c r="C78" s="99"/>
      <c r="D78" s="99"/>
      <c r="E78" s="99"/>
      <c r="F78" s="99"/>
      <c r="G78" s="99"/>
      <c r="H78" s="145"/>
    </row>
    <row r="79" spans="1:8" ht="16.5" thickTop="1">
      <c r="A79" s="168"/>
      <c r="B79" s="139"/>
      <c r="C79" s="139"/>
      <c r="D79" s="139"/>
      <c r="E79" s="139"/>
      <c r="F79" s="139"/>
      <c r="G79" s="141"/>
      <c r="H79" s="142"/>
    </row>
    <row r="80" spans="1:8" ht="15.75">
      <c r="A80" s="169"/>
      <c r="B80" s="47"/>
      <c r="C80" s="47"/>
      <c r="D80" s="47"/>
      <c r="E80" s="47"/>
      <c r="F80" s="47"/>
      <c r="G80" s="14"/>
      <c r="H80" s="66"/>
    </row>
    <row r="81" spans="1:8" ht="19.5" thickBot="1">
      <c r="A81" s="170"/>
      <c r="B81" s="99"/>
      <c r="C81" s="99"/>
      <c r="D81" s="99"/>
      <c r="E81" s="99"/>
      <c r="F81" s="99"/>
      <c r="G81" s="99"/>
      <c r="H81" s="145"/>
    </row>
    <row r="82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SheetLayoutView="100" zoomScalePageLayoutView="0" workbookViewId="0" topLeftCell="A5">
      <selection activeCell="Q17" sqref="Q17"/>
    </sheetView>
  </sheetViews>
  <sheetFormatPr defaultColWidth="9.140625" defaultRowHeight="12.75"/>
  <cols>
    <col min="1" max="1" width="20.140625" style="0" customWidth="1"/>
    <col min="2" max="15" width="7.7109375" style="0" customWidth="1"/>
    <col min="16" max="16" width="8.28125" style="0" customWidth="1"/>
    <col min="17" max="17" width="10.57421875" style="0" customWidth="1"/>
  </cols>
  <sheetData>
    <row r="1" spans="1:17" ht="15.75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ht="11.25" customHeight="1"/>
    <row r="3" spans="1:17" ht="25.5">
      <c r="A3" s="340" t="s">
        <v>406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ht="25.5">
      <c r="A4" s="341" t="s">
        <v>50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22.5">
      <c r="A6" s="287" t="s">
        <v>407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88"/>
      <c r="N6" s="288" t="s">
        <v>408</v>
      </c>
      <c r="O6" s="288"/>
      <c r="P6" s="289"/>
      <c r="Q6" s="13"/>
    </row>
    <row r="7" spans="1:17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2"/>
      <c r="O7" s="22"/>
      <c r="P7" s="13"/>
      <c r="Q7" s="13"/>
    </row>
    <row r="8" ht="13.5" thickBot="1"/>
    <row r="9" spans="1:17" s="20" customFormat="1" ht="13.5" customHeight="1" thickBot="1" thickTop="1">
      <c r="A9" s="336" t="s">
        <v>6</v>
      </c>
      <c r="B9" s="335" t="s">
        <v>400</v>
      </c>
      <c r="C9" s="335"/>
      <c r="D9" s="337" t="s">
        <v>402</v>
      </c>
      <c r="E9" s="335"/>
      <c r="F9" s="337" t="s">
        <v>401</v>
      </c>
      <c r="G9" s="337"/>
      <c r="H9" s="335" t="s">
        <v>102</v>
      </c>
      <c r="I9" s="335"/>
      <c r="J9" s="335" t="s">
        <v>403</v>
      </c>
      <c r="K9" s="335"/>
      <c r="L9" s="337" t="s">
        <v>404</v>
      </c>
      <c r="M9" s="335"/>
      <c r="N9" s="335" t="s">
        <v>405</v>
      </c>
      <c r="O9" s="335"/>
      <c r="P9" s="338" t="s">
        <v>48</v>
      </c>
      <c r="Q9" s="338" t="s">
        <v>49</v>
      </c>
    </row>
    <row r="10" spans="1:17" s="20" customFormat="1" ht="21.75" customHeight="1" thickBot="1" thickTop="1">
      <c r="A10" s="336"/>
      <c r="B10" s="335"/>
      <c r="C10" s="335"/>
      <c r="D10" s="335"/>
      <c r="E10" s="335"/>
      <c r="F10" s="337"/>
      <c r="G10" s="337"/>
      <c r="H10" s="335"/>
      <c r="I10" s="335"/>
      <c r="J10" s="335"/>
      <c r="K10" s="335"/>
      <c r="L10" s="335"/>
      <c r="M10" s="335"/>
      <c r="N10" s="335"/>
      <c r="O10" s="335"/>
      <c r="P10" s="336"/>
      <c r="Q10" s="336"/>
    </row>
    <row r="11" spans="1:17" s="20" customFormat="1" ht="17.25" thickBot="1" thickTop="1">
      <c r="A11" s="336"/>
      <c r="B11" s="195" t="s">
        <v>14</v>
      </c>
      <c r="C11" s="196" t="s">
        <v>1</v>
      </c>
      <c r="D11" s="195" t="s">
        <v>14</v>
      </c>
      <c r="E11" s="196" t="s">
        <v>1</v>
      </c>
      <c r="F11" s="195" t="s">
        <v>14</v>
      </c>
      <c r="G11" s="196" t="s">
        <v>1</v>
      </c>
      <c r="H11" s="195" t="s">
        <v>14</v>
      </c>
      <c r="I11" s="196" t="s">
        <v>1</v>
      </c>
      <c r="J11" s="195" t="s">
        <v>14</v>
      </c>
      <c r="K11" s="196" t="s">
        <v>1</v>
      </c>
      <c r="L11" s="195" t="s">
        <v>14</v>
      </c>
      <c r="M11" s="196" t="s">
        <v>1</v>
      </c>
      <c r="N11" s="195" t="s">
        <v>14</v>
      </c>
      <c r="O11" s="196" t="s">
        <v>1</v>
      </c>
      <c r="P11" s="336"/>
      <c r="Q11" s="336"/>
    </row>
    <row r="12" spans="1:17" s="20" customFormat="1" ht="21" thickTop="1">
      <c r="A12" s="284" t="s">
        <v>38</v>
      </c>
      <c r="B12" s="75"/>
      <c r="C12" s="82"/>
      <c r="D12" s="15"/>
      <c r="E12" s="82"/>
      <c r="F12" s="15"/>
      <c r="G12" s="82"/>
      <c r="H12" s="15"/>
      <c r="I12" s="82"/>
      <c r="J12" s="15"/>
      <c r="K12" s="82"/>
      <c r="L12" s="15"/>
      <c r="M12" s="82"/>
      <c r="N12" s="15"/>
      <c r="O12" s="82"/>
      <c r="P12" s="15"/>
      <c r="Q12" s="15"/>
    </row>
    <row r="13" spans="1:17" s="20" customFormat="1" ht="20.25">
      <c r="A13" s="284" t="s">
        <v>9</v>
      </c>
      <c r="B13" s="75">
        <v>7</v>
      </c>
      <c r="C13" s="82">
        <v>3</v>
      </c>
      <c r="D13" s="15"/>
      <c r="E13" s="82"/>
      <c r="F13" s="15"/>
      <c r="G13" s="82"/>
      <c r="H13" s="15"/>
      <c r="I13" s="82"/>
      <c r="J13" s="15"/>
      <c r="K13" s="82"/>
      <c r="L13" s="15"/>
      <c r="M13" s="82"/>
      <c r="N13" s="15">
        <v>4</v>
      </c>
      <c r="O13" s="82">
        <v>6</v>
      </c>
      <c r="P13" s="15">
        <v>9</v>
      </c>
      <c r="Q13" s="15">
        <v>12</v>
      </c>
    </row>
    <row r="14" spans="1:17" s="20" customFormat="1" ht="20.25">
      <c r="A14" s="284" t="s">
        <v>3</v>
      </c>
      <c r="B14" s="75">
        <v>2</v>
      </c>
      <c r="C14" s="82">
        <v>10</v>
      </c>
      <c r="D14" s="15">
        <v>6</v>
      </c>
      <c r="E14" s="82">
        <v>4</v>
      </c>
      <c r="F14" s="15"/>
      <c r="G14" s="82"/>
      <c r="H14" s="15"/>
      <c r="I14" s="82"/>
      <c r="J14" s="15"/>
      <c r="K14" s="82"/>
      <c r="L14" s="15"/>
      <c r="M14" s="82"/>
      <c r="N14" s="15"/>
      <c r="O14" s="82"/>
      <c r="P14" s="15">
        <v>14</v>
      </c>
      <c r="Q14" s="15">
        <v>13</v>
      </c>
    </row>
    <row r="15" spans="1:17" s="20" customFormat="1" ht="20.25">
      <c r="A15" s="284" t="s">
        <v>24</v>
      </c>
      <c r="B15" s="75">
        <v>3</v>
      </c>
      <c r="C15" s="82">
        <v>8</v>
      </c>
      <c r="D15" s="15">
        <v>2</v>
      </c>
      <c r="E15" s="82">
        <v>10</v>
      </c>
      <c r="F15" s="15"/>
      <c r="G15" s="82"/>
      <c r="H15" s="15">
        <v>6</v>
      </c>
      <c r="I15" s="82">
        <v>4</v>
      </c>
      <c r="J15" s="15"/>
      <c r="K15" s="82"/>
      <c r="L15" s="15">
        <v>8</v>
      </c>
      <c r="M15" s="82">
        <v>2</v>
      </c>
      <c r="N15" s="15">
        <v>2</v>
      </c>
      <c r="O15" s="82">
        <v>10</v>
      </c>
      <c r="P15" s="15">
        <v>34</v>
      </c>
      <c r="Q15" s="15">
        <v>4</v>
      </c>
    </row>
    <row r="16" spans="1:17" s="20" customFormat="1" ht="20.25">
      <c r="A16" s="284" t="s">
        <v>4</v>
      </c>
      <c r="B16" s="75"/>
      <c r="C16" s="82"/>
      <c r="D16" s="15"/>
      <c r="E16" s="82"/>
      <c r="F16" s="15">
        <v>5</v>
      </c>
      <c r="G16" s="82">
        <v>5</v>
      </c>
      <c r="H16" s="15"/>
      <c r="I16" s="82"/>
      <c r="J16" s="15"/>
      <c r="K16" s="82"/>
      <c r="L16" s="15">
        <v>3</v>
      </c>
      <c r="M16" s="82">
        <v>8</v>
      </c>
      <c r="N16" s="15"/>
      <c r="O16" s="82"/>
      <c r="P16" s="15">
        <v>12</v>
      </c>
      <c r="Q16" s="83">
        <v>10</v>
      </c>
    </row>
    <row r="17" spans="1:17" s="20" customFormat="1" ht="20.25">
      <c r="A17" s="284" t="s">
        <v>41</v>
      </c>
      <c r="B17" s="75"/>
      <c r="C17" s="82"/>
      <c r="D17" s="15"/>
      <c r="E17" s="82"/>
      <c r="F17" s="15"/>
      <c r="G17" s="82"/>
      <c r="H17" s="15">
        <v>1</v>
      </c>
      <c r="I17" s="82">
        <v>12</v>
      </c>
      <c r="J17" s="15"/>
      <c r="K17" s="82"/>
      <c r="L17" s="15"/>
      <c r="M17" s="82"/>
      <c r="N17" s="15"/>
      <c r="O17" s="82"/>
      <c r="P17" s="15">
        <v>12</v>
      </c>
      <c r="Q17" s="83">
        <v>10</v>
      </c>
    </row>
    <row r="18" spans="1:17" s="20" customFormat="1" ht="20.25">
      <c r="A18" s="284" t="s">
        <v>28</v>
      </c>
      <c r="B18" s="75"/>
      <c r="C18" s="82"/>
      <c r="D18" s="15"/>
      <c r="E18" s="82"/>
      <c r="F18" s="15"/>
      <c r="G18" s="82"/>
      <c r="H18" s="15">
        <v>2</v>
      </c>
      <c r="I18" s="82">
        <v>10</v>
      </c>
      <c r="J18" s="15">
        <v>7</v>
      </c>
      <c r="K18" s="82">
        <v>3</v>
      </c>
      <c r="L18" s="15"/>
      <c r="M18" s="82"/>
      <c r="N18" s="15"/>
      <c r="O18" s="82"/>
      <c r="P18" s="15">
        <v>13</v>
      </c>
      <c r="Q18" s="83">
        <v>9</v>
      </c>
    </row>
    <row r="19" spans="1:17" s="20" customFormat="1" ht="20.25">
      <c r="A19" s="284" t="s">
        <v>11</v>
      </c>
      <c r="B19" s="75"/>
      <c r="C19" s="82"/>
      <c r="D19" s="15"/>
      <c r="E19" s="82"/>
      <c r="F19" s="15"/>
      <c r="G19" s="82"/>
      <c r="H19" s="15"/>
      <c r="I19" s="82"/>
      <c r="J19" s="15"/>
      <c r="K19" s="82"/>
      <c r="L19" s="15"/>
      <c r="M19" s="82"/>
      <c r="N19" s="15"/>
      <c r="O19" s="82"/>
      <c r="P19" s="15"/>
      <c r="Q19" s="83"/>
    </row>
    <row r="20" spans="1:17" s="20" customFormat="1" ht="20.25">
      <c r="A20" s="284" t="s">
        <v>30</v>
      </c>
      <c r="B20" s="75">
        <v>6</v>
      </c>
      <c r="C20" s="82">
        <v>4</v>
      </c>
      <c r="D20" s="15"/>
      <c r="E20" s="82"/>
      <c r="F20" s="15">
        <v>3</v>
      </c>
      <c r="G20" s="82">
        <v>8</v>
      </c>
      <c r="H20" s="15">
        <v>5</v>
      </c>
      <c r="I20" s="82">
        <v>5</v>
      </c>
      <c r="J20" s="15">
        <v>1</v>
      </c>
      <c r="K20" s="82">
        <v>12</v>
      </c>
      <c r="L20" s="15">
        <v>7</v>
      </c>
      <c r="M20" s="82">
        <v>3</v>
      </c>
      <c r="N20" s="15">
        <v>6</v>
      </c>
      <c r="O20" s="82">
        <v>4</v>
      </c>
      <c r="P20" s="15">
        <v>36</v>
      </c>
      <c r="Q20" s="83">
        <v>3</v>
      </c>
    </row>
    <row r="21" spans="1:17" s="20" customFormat="1" ht="20.25">
      <c r="A21" s="284" t="s">
        <v>410</v>
      </c>
      <c r="B21" s="75">
        <v>4</v>
      </c>
      <c r="C21" s="82">
        <v>6</v>
      </c>
      <c r="D21" s="15">
        <v>4</v>
      </c>
      <c r="E21" s="82">
        <v>6</v>
      </c>
      <c r="F21" s="15">
        <v>1</v>
      </c>
      <c r="G21" s="82">
        <v>12</v>
      </c>
      <c r="H21" s="15"/>
      <c r="I21" s="82"/>
      <c r="J21" s="15">
        <v>6</v>
      </c>
      <c r="K21" s="82">
        <v>4</v>
      </c>
      <c r="L21" s="15"/>
      <c r="M21" s="82"/>
      <c r="N21" s="15">
        <v>5</v>
      </c>
      <c r="O21" s="82">
        <v>5</v>
      </c>
      <c r="P21" s="15">
        <v>33</v>
      </c>
      <c r="Q21" s="83">
        <v>5</v>
      </c>
    </row>
    <row r="22" spans="1:17" s="20" customFormat="1" ht="20.25">
      <c r="A22" s="284" t="s">
        <v>45</v>
      </c>
      <c r="B22" s="75">
        <v>1</v>
      </c>
      <c r="C22" s="82">
        <v>12</v>
      </c>
      <c r="D22" s="15"/>
      <c r="E22" s="82"/>
      <c r="F22" s="15"/>
      <c r="G22" s="82"/>
      <c r="H22" s="15">
        <v>4</v>
      </c>
      <c r="I22" s="82">
        <v>6</v>
      </c>
      <c r="J22" s="15">
        <v>2</v>
      </c>
      <c r="K22" s="82">
        <v>10</v>
      </c>
      <c r="L22" s="15">
        <v>5</v>
      </c>
      <c r="M22" s="82">
        <v>5</v>
      </c>
      <c r="N22" s="15">
        <v>1</v>
      </c>
      <c r="O22" s="82">
        <v>12</v>
      </c>
      <c r="P22" s="15">
        <v>45</v>
      </c>
      <c r="Q22" s="83">
        <v>2</v>
      </c>
    </row>
    <row r="23" spans="1:17" s="20" customFormat="1" ht="20.25">
      <c r="A23" s="284" t="s">
        <v>46</v>
      </c>
      <c r="B23" s="75"/>
      <c r="C23" s="82"/>
      <c r="D23" s="15">
        <v>1</v>
      </c>
      <c r="E23" s="82">
        <v>12</v>
      </c>
      <c r="F23" s="15"/>
      <c r="G23" s="82"/>
      <c r="H23" s="15"/>
      <c r="I23" s="82"/>
      <c r="J23" s="15">
        <v>5</v>
      </c>
      <c r="K23" s="82">
        <v>5</v>
      </c>
      <c r="L23" s="15">
        <v>6</v>
      </c>
      <c r="M23" s="82">
        <v>4</v>
      </c>
      <c r="N23" s="15"/>
      <c r="O23" s="82"/>
      <c r="P23" s="15">
        <v>21</v>
      </c>
      <c r="Q23" s="83">
        <v>8</v>
      </c>
    </row>
    <row r="24" spans="1:17" s="20" customFormat="1" ht="20.25">
      <c r="A24" s="284" t="s">
        <v>43</v>
      </c>
      <c r="B24" s="75"/>
      <c r="C24" s="82"/>
      <c r="D24" s="15">
        <v>6</v>
      </c>
      <c r="E24" s="82">
        <v>4</v>
      </c>
      <c r="F24" s="15">
        <v>2</v>
      </c>
      <c r="G24" s="82">
        <v>10</v>
      </c>
      <c r="H24" s="15"/>
      <c r="I24" s="82"/>
      <c r="J24" s="15"/>
      <c r="K24" s="82"/>
      <c r="L24" s="15">
        <v>1</v>
      </c>
      <c r="M24" s="82">
        <v>12</v>
      </c>
      <c r="N24" s="15"/>
      <c r="O24" s="82"/>
      <c r="P24" s="15">
        <v>26</v>
      </c>
      <c r="Q24" s="83">
        <v>6</v>
      </c>
    </row>
    <row r="25" spans="1:17" ht="20.25">
      <c r="A25" s="284" t="s">
        <v>23</v>
      </c>
      <c r="B25" s="75">
        <v>5</v>
      </c>
      <c r="C25" s="82">
        <v>5</v>
      </c>
      <c r="D25" s="15">
        <v>6</v>
      </c>
      <c r="E25" s="82">
        <v>4</v>
      </c>
      <c r="F25" s="15">
        <v>4</v>
      </c>
      <c r="G25" s="82">
        <v>6</v>
      </c>
      <c r="H25" s="15">
        <v>3</v>
      </c>
      <c r="I25" s="82">
        <v>8</v>
      </c>
      <c r="J25" s="15">
        <v>3</v>
      </c>
      <c r="K25" s="82">
        <v>8</v>
      </c>
      <c r="L25" s="15">
        <v>2</v>
      </c>
      <c r="M25" s="82">
        <v>10</v>
      </c>
      <c r="N25" s="15">
        <v>3</v>
      </c>
      <c r="O25" s="82">
        <v>8</v>
      </c>
      <c r="P25" s="15">
        <v>49</v>
      </c>
      <c r="Q25" s="83">
        <v>1</v>
      </c>
    </row>
    <row r="26" spans="1:17" ht="20.25">
      <c r="A26" s="284" t="s">
        <v>25</v>
      </c>
      <c r="B26" s="75"/>
      <c r="C26" s="82"/>
      <c r="D26" s="15"/>
      <c r="E26" s="82"/>
      <c r="F26" s="15"/>
      <c r="G26" s="82"/>
      <c r="H26" s="15"/>
      <c r="I26" s="82"/>
      <c r="J26" s="15"/>
      <c r="K26" s="82"/>
      <c r="L26" s="15"/>
      <c r="M26" s="82"/>
      <c r="N26" s="15"/>
      <c r="O26" s="82"/>
      <c r="P26" s="15"/>
      <c r="Q26" s="83"/>
    </row>
    <row r="27" spans="1:20" ht="20.25">
      <c r="A27" s="284" t="s">
        <v>21</v>
      </c>
      <c r="B27" s="75"/>
      <c r="C27" s="82"/>
      <c r="D27" s="15"/>
      <c r="E27" s="82">
        <v>3</v>
      </c>
      <c r="F27" s="15">
        <v>8</v>
      </c>
      <c r="G27" s="82"/>
      <c r="H27" s="15">
        <v>7</v>
      </c>
      <c r="I27" s="82">
        <v>3</v>
      </c>
      <c r="J27" s="15">
        <v>4</v>
      </c>
      <c r="K27" s="82">
        <v>6</v>
      </c>
      <c r="L27" s="15">
        <v>4</v>
      </c>
      <c r="M27" s="82">
        <v>6</v>
      </c>
      <c r="N27" s="15"/>
      <c r="O27" s="82"/>
      <c r="P27" s="15">
        <v>23</v>
      </c>
      <c r="Q27" s="83">
        <v>7</v>
      </c>
      <c r="T27" s="285"/>
    </row>
    <row r="28" spans="1:17" ht="9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5.75">
      <c r="A29" s="10" t="s">
        <v>51</v>
      </c>
      <c r="B29" s="10"/>
      <c r="C29" s="10"/>
      <c r="D29" s="10"/>
      <c r="E29" s="10" t="s">
        <v>52</v>
      </c>
      <c r="F29" s="10"/>
      <c r="G29" s="10"/>
      <c r="H29" s="10" t="s">
        <v>411</v>
      </c>
      <c r="I29" s="10"/>
      <c r="J29" s="10"/>
      <c r="K29" s="10"/>
      <c r="L29" s="10" t="s">
        <v>409</v>
      </c>
      <c r="M29" s="10" t="s">
        <v>412</v>
      </c>
      <c r="N29" s="286"/>
      <c r="O29" s="286"/>
      <c r="P29" s="286"/>
      <c r="Q29" s="197"/>
    </row>
    <row r="30" spans="1:17" ht="6.75" customHeight="1">
      <c r="A30" s="10"/>
      <c r="B30" s="10"/>
      <c r="C30" s="10"/>
      <c r="D30" s="10"/>
      <c r="E30" s="10"/>
      <c r="F30" s="10"/>
      <c r="G30" s="286"/>
      <c r="H30" s="286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5.75">
      <c r="A31" s="10" t="s">
        <v>413</v>
      </c>
      <c r="B31" s="21"/>
      <c r="C31" s="21"/>
      <c r="D31" s="21"/>
      <c r="E31" s="21"/>
      <c r="F31" s="21"/>
      <c r="G31" s="21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</sheetData>
  <sheetProtection/>
  <mergeCells count="13">
    <mergeCell ref="A1:Q1"/>
    <mergeCell ref="H9:I10"/>
    <mergeCell ref="L9:M10"/>
    <mergeCell ref="N9:O10"/>
    <mergeCell ref="A3:Q3"/>
    <mergeCell ref="A4:Q4"/>
    <mergeCell ref="J9:K10"/>
    <mergeCell ref="B9:C10"/>
    <mergeCell ref="A9:A11"/>
    <mergeCell ref="D9:E10"/>
    <mergeCell ref="P9:P11"/>
    <mergeCell ref="Q9:Q11"/>
    <mergeCell ref="F9:G10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T29"/>
  <sheetViews>
    <sheetView zoomScalePageLayoutView="0" workbookViewId="0" topLeftCell="A2">
      <selection activeCell="H31" sqref="H31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21.57421875" style="0" customWidth="1"/>
    <col min="4" max="4" width="9.57421875" style="36" customWidth="1"/>
    <col min="5" max="5" width="8.00390625" style="0" customWidth="1"/>
    <col min="6" max="6" width="8.28125" style="0" customWidth="1"/>
    <col min="7" max="7" width="8.421875" style="36" customWidth="1"/>
    <col min="8" max="8" width="9.57421875" style="0" customWidth="1"/>
    <col min="9" max="9" width="9.421875" style="0" customWidth="1"/>
    <col min="10" max="10" width="9.7109375" style="36" customWidth="1"/>
    <col min="11" max="11" width="9.8515625" style="0" customWidth="1"/>
    <col min="12" max="15" width="11.140625" style="0" customWidth="1"/>
    <col min="17" max="17" width="9.00390625" style="23" customWidth="1"/>
    <col min="18" max="18" width="10.28125" style="0" customWidth="1"/>
    <col min="19" max="98" width="5.140625" style="0" customWidth="1"/>
  </cols>
  <sheetData>
    <row r="1" spans="4:11" ht="30.75" customHeight="1">
      <c r="D1" s="8"/>
      <c r="E1" s="8"/>
      <c r="F1" s="8"/>
      <c r="G1" s="8"/>
      <c r="H1" s="8"/>
      <c r="I1" s="8"/>
      <c r="J1" s="8"/>
      <c r="K1" s="8"/>
    </row>
    <row r="2" spans="2:17" ht="39.75" customHeight="1" thickBo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98" ht="16.5" customHeight="1" thickBot="1">
      <c r="A3" s="104" t="s">
        <v>91</v>
      </c>
      <c r="B3" s="105" t="s">
        <v>2</v>
      </c>
      <c r="C3" s="106" t="s">
        <v>0</v>
      </c>
      <c r="D3" s="330" t="s">
        <v>400</v>
      </c>
      <c r="E3" s="330"/>
      <c r="F3" s="330"/>
      <c r="G3" s="332" t="s">
        <v>438</v>
      </c>
      <c r="H3" s="332"/>
      <c r="I3" s="332"/>
      <c r="J3" s="333" t="s">
        <v>439</v>
      </c>
      <c r="K3" s="333"/>
      <c r="L3" s="333"/>
      <c r="M3" s="333" t="s">
        <v>440</v>
      </c>
      <c r="N3" s="333"/>
      <c r="O3" s="333"/>
      <c r="P3" s="107"/>
      <c r="Q3" s="108"/>
      <c r="R3" s="329" t="s">
        <v>100</v>
      </c>
      <c r="S3" s="28">
        <v>1</v>
      </c>
      <c r="T3" s="28">
        <v>2</v>
      </c>
      <c r="U3" s="28">
        <v>3</v>
      </c>
      <c r="V3" s="28">
        <v>4</v>
      </c>
      <c r="W3" s="28">
        <v>5</v>
      </c>
      <c r="X3" s="28">
        <v>6</v>
      </c>
      <c r="Y3" s="28">
        <v>7</v>
      </c>
      <c r="Z3" s="28">
        <v>8</v>
      </c>
      <c r="AA3" s="28">
        <v>9</v>
      </c>
      <c r="AB3" s="28">
        <v>10</v>
      </c>
      <c r="AC3" s="28">
        <v>11</v>
      </c>
      <c r="AD3" s="28">
        <v>12</v>
      </c>
      <c r="AE3" s="28">
        <v>13</v>
      </c>
      <c r="AF3" s="28">
        <v>14</v>
      </c>
      <c r="AG3" s="28">
        <v>15</v>
      </c>
      <c r="AH3" s="28">
        <v>16</v>
      </c>
      <c r="AI3" s="28">
        <v>17</v>
      </c>
      <c r="AJ3" s="28">
        <v>18</v>
      </c>
      <c r="AK3" s="28">
        <v>19</v>
      </c>
      <c r="AL3" s="28">
        <v>20</v>
      </c>
      <c r="AM3" s="28">
        <v>21</v>
      </c>
      <c r="AN3" s="28">
        <v>22</v>
      </c>
      <c r="AO3" s="28">
        <v>23</v>
      </c>
      <c r="AP3" s="28">
        <v>24</v>
      </c>
      <c r="AQ3" s="28">
        <v>25</v>
      </c>
      <c r="AR3" s="28">
        <v>26</v>
      </c>
      <c r="AS3" s="28">
        <v>27</v>
      </c>
      <c r="AT3" s="28">
        <v>28</v>
      </c>
      <c r="AU3" s="28">
        <v>29</v>
      </c>
      <c r="AV3" s="28">
        <v>30</v>
      </c>
      <c r="AW3" s="28">
        <v>31</v>
      </c>
      <c r="AX3" s="28">
        <v>32</v>
      </c>
      <c r="AY3" s="28">
        <v>33</v>
      </c>
      <c r="AZ3" s="28">
        <v>34</v>
      </c>
      <c r="BA3" s="28">
        <v>35</v>
      </c>
      <c r="BB3" s="28">
        <v>36</v>
      </c>
      <c r="BC3" s="28">
        <v>37</v>
      </c>
      <c r="BD3" s="28">
        <v>38</v>
      </c>
      <c r="BE3" s="28">
        <v>39</v>
      </c>
      <c r="BF3" s="28">
        <v>40</v>
      </c>
      <c r="BG3" s="28">
        <v>41</v>
      </c>
      <c r="BH3" s="28">
        <v>42</v>
      </c>
      <c r="BI3" s="28">
        <v>43</v>
      </c>
      <c r="BJ3" s="28">
        <v>44</v>
      </c>
      <c r="BK3" s="28">
        <v>45</v>
      </c>
      <c r="BL3" s="28">
        <v>46</v>
      </c>
      <c r="BM3" s="28">
        <v>47</v>
      </c>
      <c r="BN3" s="28">
        <v>48</v>
      </c>
      <c r="BO3" s="28">
        <v>49</v>
      </c>
      <c r="BP3" s="28">
        <v>50</v>
      </c>
      <c r="BQ3" s="28">
        <v>51</v>
      </c>
      <c r="BR3" s="28">
        <v>52</v>
      </c>
      <c r="BS3" s="28">
        <v>53</v>
      </c>
      <c r="BT3" s="28">
        <v>54</v>
      </c>
      <c r="BU3" s="28">
        <v>55</v>
      </c>
      <c r="BV3" s="28">
        <v>56</v>
      </c>
      <c r="BW3" s="28">
        <v>57</v>
      </c>
      <c r="BX3" s="28">
        <v>58</v>
      </c>
      <c r="BY3" s="28">
        <v>59</v>
      </c>
      <c r="BZ3" s="28">
        <v>60</v>
      </c>
      <c r="CA3" s="28">
        <v>61</v>
      </c>
      <c r="CB3" s="28">
        <v>62</v>
      </c>
      <c r="CC3" s="28">
        <v>63</v>
      </c>
      <c r="CD3" s="28">
        <v>64</v>
      </c>
      <c r="CE3" s="28">
        <v>65</v>
      </c>
      <c r="CF3" s="28">
        <v>66</v>
      </c>
      <c r="CG3" s="28">
        <v>67</v>
      </c>
      <c r="CH3" s="28">
        <v>68</v>
      </c>
      <c r="CI3" s="28">
        <v>69</v>
      </c>
      <c r="CJ3" s="28">
        <v>70</v>
      </c>
      <c r="CK3" s="28">
        <v>71</v>
      </c>
      <c r="CL3" s="28">
        <v>72</v>
      </c>
      <c r="CM3" s="28">
        <v>73</v>
      </c>
      <c r="CN3" s="28">
        <v>74</v>
      </c>
      <c r="CO3" s="28">
        <v>75</v>
      </c>
      <c r="CP3" s="28">
        <v>76</v>
      </c>
      <c r="CQ3" s="28">
        <v>77</v>
      </c>
      <c r="CR3" s="28">
        <v>78</v>
      </c>
      <c r="CS3" s="28">
        <v>79</v>
      </c>
      <c r="CT3" s="28">
        <v>80</v>
      </c>
    </row>
    <row r="4" spans="1:98" ht="19.5" thickBot="1">
      <c r="A4" s="109"/>
      <c r="B4" s="91"/>
      <c r="C4" s="110"/>
      <c r="D4" s="111" t="s">
        <v>13</v>
      </c>
      <c r="E4" s="112" t="s">
        <v>14</v>
      </c>
      <c r="F4" s="112" t="s">
        <v>1</v>
      </c>
      <c r="G4" s="111" t="s">
        <v>13</v>
      </c>
      <c r="H4" s="112" t="s">
        <v>14</v>
      </c>
      <c r="I4" s="112" t="s">
        <v>1</v>
      </c>
      <c r="J4" s="111" t="s">
        <v>13</v>
      </c>
      <c r="K4" s="112" t="s">
        <v>14</v>
      </c>
      <c r="L4" s="113" t="s">
        <v>1</v>
      </c>
      <c r="M4" s="111" t="s">
        <v>13</v>
      </c>
      <c r="N4" s="112" t="s">
        <v>14</v>
      </c>
      <c r="O4" s="113" t="s">
        <v>1</v>
      </c>
      <c r="P4" s="114"/>
      <c r="Q4" s="115" t="s">
        <v>14</v>
      </c>
      <c r="R4" s="329"/>
      <c r="S4" s="28">
        <v>120</v>
      </c>
      <c r="T4" s="28">
        <v>108</v>
      </c>
      <c r="U4" s="28">
        <v>98</v>
      </c>
      <c r="V4" s="28">
        <v>90</v>
      </c>
      <c r="W4" s="28">
        <v>85</v>
      </c>
      <c r="X4" s="28">
        <v>82</v>
      </c>
      <c r="Y4" s="28">
        <v>79</v>
      </c>
      <c r="Z4" s="28">
        <v>76</v>
      </c>
      <c r="AA4" s="28">
        <v>74</v>
      </c>
      <c r="AB4" s="28">
        <v>72</v>
      </c>
      <c r="AC4" s="28">
        <v>70</v>
      </c>
      <c r="AD4" s="28">
        <v>69</v>
      </c>
      <c r="AE4" s="28">
        <v>68</v>
      </c>
      <c r="AF4" s="28">
        <v>67</v>
      </c>
      <c r="AG4" s="28">
        <v>66</v>
      </c>
      <c r="AH4" s="28">
        <v>65</v>
      </c>
      <c r="AI4" s="28">
        <v>64</v>
      </c>
      <c r="AJ4" s="28">
        <v>63</v>
      </c>
      <c r="AK4" s="28">
        <v>62</v>
      </c>
      <c r="AL4" s="28">
        <v>61</v>
      </c>
      <c r="AM4" s="28">
        <v>60</v>
      </c>
      <c r="AN4" s="28">
        <v>59</v>
      </c>
      <c r="AO4" s="28">
        <v>58</v>
      </c>
      <c r="AP4" s="28">
        <v>57</v>
      </c>
      <c r="AQ4" s="28">
        <v>56</v>
      </c>
      <c r="AR4" s="28">
        <v>55</v>
      </c>
      <c r="AS4" s="28">
        <v>54</v>
      </c>
      <c r="AT4" s="28">
        <v>53</v>
      </c>
      <c r="AU4" s="28">
        <v>52</v>
      </c>
      <c r="AV4" s="28">
        <v>51</v>
      </c>
      <c r="AW4" s="28">
        <v>50</v>
      </c>
      <c r="AX4" s="28">
        <v>49</v>
      </c>
      <c r="AY4" s="28">
        <v>48</v>
      </c>
      <c r="AZ4" s="28">
        <v>47</v>
      </c>
      <c r="BA4" s="28">
        <v>46</v>
      </c>
      <c r="BB4" s="28">
        <v>45</v>
      </c>
      <c r="BC4" s="28">
        <v>44</v>
      </c>
      <c r="BD4" s="28">
        <v>43</v>
      </c>
      <c r="BE4" s="28">
        <v>42</v>
      </c>
      <c r="BF4" s="28">
        <v>41</v>
      </c>
      <c r="BG4" s="28">
        <v>40</v>
      </c>
      <c r="BH4" s="28">
        <v>39</v>
      </c>
      <c r="BI4" s="28">
        <v>38</v>
      </c>
      <c r="BJ4" s="28">
        <v>37</v>
      </c>
      <c r="BK4" s="28">
        <v>36</v>
      </c>
      <c r="BL4" s="28">
        <v>35</v>
      </c>
      <c r="BM4" s="28">
        <v>34</v>
      </c>
      <c r="BN4" s="28">
        <v>33</v>
      </c>
      <c r="BO4" s="28">
        <v>32</v>
      </c>
      <c r="BP4" s="28">
        <v>31</v>
      </c>
      <c r="BQ4" s="28">
        <v>30</v>
      </c>
      <c r="BR4" s="28">
        <v>29</v>
      </c>
      <c r="BS4" s="28">
        <v>28</v>
      </c>
      <c r="BT4" s="28">
        <v>27</v>
      </c>
      <c r="BU4" s="28">
        <v>26</v>
      </c>
      <c r="BV4" s="28">
        <v>25</v>
      </c>
      <c r="BW4" s="28">
        <v>24</v>
      </c>
      <c r="BX4" s="28">
        <v>23</v>
      </c>
      <c r="BY4" s="28">
        <v>22</v>
      </c>
      <c r="BZ4" s="28">
        <v>21</v>
      </c>
      <c r="CA4" s="28">
        <v>20</v>
      </c>
      <c r="CB4" s="28">
        <v>19</v>
      </c>
      <c r="CC4" s="28">
        <v>18</v>
      </c>
      <c r="CD4" s="28">
        <v>17</v>
      </c>
      <c r="CE4" s="28">
        <v>16</v>
      </c>
      <c r="CF4" s="28">
        <v>15</v>
      </c>
      <c r="CG4" s="28">
        <v>14</v>
      </c>
      <c r="CH4" s="28">
        <v>13</v>
      </c>
      <c r="CI4" s="28">
        <v>12</v>
      </c>
      <c r="CJ4" s="28">
        <v>11</v>
      </c>
      <c r="CK4" s="28">
        <v>10</v>
      </c>
      <c r="CL4" s="28">
        <v>9</v>
      </c>
      <c r="CM4" s="28">
        <v>8</v>
      </c>
      <c r="CN4" s="28">
        <v>7</v>
      </c>
      <c r="CO4" s="28">
        <v>6</v>
      </c>
      <c r="CP4" s="28">
        <v>5</v>
      </c>
      <c r="CQ4" s="28">
        <v>4</v>
      </c>
      <c r="CR4" s="28">
        <v>3</v>
      </c>
      <c r="CS4" s="28">
        <v>2</v>
      </c>
      <c r="CT4" s="28">
        <v>1</v>
      </c>
    </row>
    <row r="5" spans="1:98" ht="18.75">
      <c r="A5" s="213"/>
      <c r="B5" s="77"/>
      <c r="C5" s="118"/>
      <c r="D5" s="119"/>
      <c r="E5" s="117"/>
      <c r="F5" s="117"/>
      <c r="G5" s="119"/>
      <c r="H5" s="117"/>
      <c r="I5" s="117"/>
      <c r="J5" s="119"/>
      <c r="K5" s="117"/>
      <c r="L5" s="120"/>
      <c r="M5" s="119"/>
      <c r="N5" s="117"/>
      <c r="O5" s="120"/>
      <c r="P5" s="121"/>
      <c r="Q5" s="122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</row>
    <row r="6" spans="1:19" s="299" customFormat="1" ht="18.75">
      <c r="A6" s="291"/>
      <c r="B6" s="292" t="s">
        <v>414</v>
      </c>
      <c r="C6" s="292" t="s">
        <v>9</v>
      </c>
      <c r="D6" s="292"/>
      <c r="E6" s="292">
        <v>8</v>
      </c>
      <c r="F6" s="293"/>
      <c r="G6" s="294"/>
      <c r="H6" s="292">
        <v>12</v>
      </c>
      <c r="I6" s="294"/>
      <c r="J6" s="295"/>
      <c r="K6" s="294">
        <v>7</v>
      </c>
      <c r="L6" s="294"/>
      <c r="M6" s="295"/>
      <c r="N6" s="294">
        <v>9</v>
      </c>
      <c r="O6" s="294"/>
      <c r="P6" s="292">
        <f aca="true" t="shared" si="0" ref="P6:P29">N6+K6+H6+E6</f>
        <v>36</v>
      </c>
      <c r="Q6" s="296"/>
      <c r="R6" s="297" t="e">
        <f aca="true" t="shared" si="1" ref="R6:R29">LOOKUP(Q6,$S$3:$CT$3,$S$4:$CT$4)</f>
        <v>#N/A</v>
      </c>
      <c r="S6" s="298"/>
    </row>
    <row r="7" spans="1:19" s="299" customFormat="1" ht="18.75">
      <c r="A7" s="300"/>
      <c r="B7" s="292" t="s">
        <v>415</v>
      </c>
      <c r="C7" s="292" t="s">
        <v>9</v>
      </c>
      <c r="D7" s="292"/>
      <c r="E7" s="292">
        <v>10</v>
      </c>
      <c r="F7" s="293"/>
      <c r="G7" s="300"/>
      <c r="H7" s="292">
        <v>3</v>
      </c>
      <c r="I7" s="300"/>
      <c r="J7" s="301"/>
      <c r="K7" s="300">
        <v>12</v>
      </c>
      <c r="L7" s="300"/>
      <c r="M7" s="301"/>
      <c r="N7" s="300">
        <v>12</v>
      </c>
      <c r="O7" s="300"/>
      <c r="P7" s="292">
        <f t="shared" si="0"/>
        <v>37</v>
      </c>
      <c r="Q7" s="296"/>
      <c r="R7" s="297" t="e">
        <f t="shared" si="1"/>
        <v>#N/A</v>
      </c>
      <c r="S7" s="298"/>
    </row>
    <row r="8" spans="1:19" ht="18.75">
      <c r="A8" s="15"/>
      <c r="B8" s="14" t="s">
        <v>416</v>
      </c>
      <c r="C8" s="14" t="s">
        <v>9</v>
      </c>
      <c r="D8" s="76"/>
      <c r="E8" s="14">
        <v>9</v>
      </c>
      <c r="F8" s="203"/>
      <c r="G8" s="74"/>
      <c r="H8" s="47">
        <v>6</v>
      </c>
      <c r="I8" s="82"/>
      <c r="J8" s="254"/>
      <c r="K8" s="75">
        <v>4</v>
      </c>
      <c r="L8" s="82"/>
      <c r="M8" s="254"/>
      <c r="N8" s="75">
        <v>8</v>
      </c>
      <c r="O8" s="82"/>
      <c r="P8" s="103">
        <f t="shared" si="0"/>
        <v>27</v>
      </c>
      <c r="Q8" s="30"/>
      <c r="R8" s="1" t="e">
        <f t="shared" si="1"/>
        <v>#N/A</v>
      </c>
      <c r="S8" s="84"/>
    </row>
    <row r="9" spans="1:18" ht="18.75">
      <c r="A9" s="15"/>
      <c r="B9" s="14" t="s">
        <v>417</v>
      </c>
      <c r="C9" s="14" t="s">
        <v>9</v>
      </c>
      <c r="D9" s="76"/>
      <c r="E9" s="14">
        <v>10</v>
      </c>
      <c r="F9" s="203"/>
      <c r="G9" s="74"/>
      <c r="H9" s="47">
        <v>9</v>
      </c>
      <c r="I9" s="82"/>
      <c r="J9" s="254"/>
      <c r="K9" s="75">
        <v>10</v>
      </c>
      <c r="L9" s="82"/>
      <c r="M9" s="254"/>
      <c r="N9" s="75">
        <v>5</v>
      </c>
      <c r="O9" s="82"/>
      <c r="P9" s="103">
        <f t="shared" si="0"/>
        <v>34</v>
      </c>
      <c r="Q9" s="30"/>
      <c r="R9" s="1" t="e">
        <f t="shared" si="1"/>
        <v>#N/A</v>
      </c>
    </row>
    <row r="10" spans="1:18" s="299" customFormat="1" ht="18.75">
      <c r="A10" s="291"/>
      <c r="B10" s="292" t="s">
        <v>418</v>
      </c>
      <c r="C10" s="292" t="s">
        <v>24</v>
      </c>
      <c r="D10" s="292"/>
      <c r="E10" s="292">
        <v>4</v>
      </c>
      <c r="F10" s="293"/>
      <c r="G10" s="294"/>
      <c r="H10" s="292">
        <v>1</v>
      </c>
      <c r="I10" s="294"/>
      <c r="J10" s="295"/>
      <c r="K10" s="300">
        <v>3</v>
      </c>
      <c r="L10" s="294"/>
      <c r="M10" s="295"/>
      <c r="N10" s="300">
        <v>3</v>
      </c>
      <c r="O10" s="294"/>
      <c r="P10" s="292">
        <f t="shared" si="0"/>
        <v>11</v>
      </c>
      <c r="Q10" s="296">
        <v>1</v>
      </c>
      <c r="R10" s="297">
        <f t="shared" si="1"/>
        <v>120</v>
      </c>
    </row>
    <row r="11" spans="1:18" s="299" customFormat="1" ht="18.75">
      <c r="A11" s="300"/>
      <c r="B11" s="292" t="s">
        <v>419</v>
      </c>
      <c r="C11" s="292" t="s">
        <v>24</v>
      </c>
      <c r="D11" s="292"/>
      <c r="E11" s="292">
        <v>3</v>
      </c>
      <c r="F11" s="293"/>
      <c r="G11" s="300"/>
      <c r="H11" s="292">
        <v>2</v>
      </c>
      <c r="I11" s="300"/>
      <c r="J11" s="301"/>
      <c r="K11" s="300">
        <v>2</v>
      </c>
      <c r="L11" s="300"/>
      <c r="M11" s="301"/>
      <c r="N11" s="300">
        <v>10</v>
      </c>
      <c r="O11" s="300"/>
      <c r="P11" s="292">
        <f t="shared" si="0"/>
        <v>17</v>
      </c>
      <c r="Q11" s="296">
        <v>3</v>
      </c>
      <c r="R11" s="297">
        <f t="shared" si="1"/>
        <v>98</v>
      </c>
    </row>
    <row r="12" spans="1:18" ht="18.75">
      <c r="A12" s="15"/>
      <c r="B12" s="14" t="s">
        <v>420</v>
      </c>
      <c r="C12" s="14" t="s">
        <v>24</v>
      </c>
      <c r="D12" s="76"/>
      <c r="E12" s="14">
        <v>3</v>
      </c>
      <c r="F12" s="203"/>
      <c r="G12" s="202"/>
      <c r="H12" s="14">
        <v>11</v>
      </c>
      <c r="I12" s="201"/>
      <c r="J12" s="254"/>
      <c r="K12" s="75">
        <v>4</v>
      </c>
      <c r="L12" s="201"/>
      <c r="M12" s="254"/>
      <c r="N12" s="75">
        <v>11</v>
      </c>
      <c r="O12" s="201"/>
      <c r="P12" s="103">
        <f t="shared" si="0"/>
        <v>29</v>
      </c>
      <c r="Q12" s="30"/>
      <c r="R12" s="1" t="e">
        <f t="shared" si="1"/>
        <v>#N/A</v>
      </c>
    </row>
    <row r="13" spans="1:19" ht="18.75">
      <c r="A13" s="15"/>
      <c r="B13" s="14" t="s">
        <v>421</v>
      </c>
      <c r="C13" s="14" t="s">
        <v>24</v>
      </c>
      <c r="D13" s="76"/>
      <c r="E13" s="14">
        <v>1</v>
      </c>
      <c r="F13" s="203"/>
      <c r="G13" s="74"/>
      <c r="H13" s="47">
        <v>9</v>
      </c>
      <c r="I13" s="82"/>
      <c r="J13" s="254"/>
      <c r="K13" s="75">
        <v>8</v>
      </c>
      <c r="L13" s="82"/>
      <c r="M13" s="254"/>
      <c r="N13" s="75">
        <v>12</v>
      </c>
      <c r="O13" s="82"/>
      <c r="P13" s="103">
        <f t="shared" si="0"/>
        <v>30</v>
      </c>
      <c r="Q13" s="30"/>
      <c r="R13" s="1" t="e">
        <f t="shared" si="1"/>
        <v>#N/A</v>
      </c>
      <c r="S13" s="84"/>
    </row>
    <row r="14" spans="1:19" s="299" customFormat="1" ht="18.75">
      <c r="A14" s="300"/>
      <c r="B14" s="292" t="s">
        <v>422</v>
      </c>
      <c r="C14" s="302" t="s">
        <v>30</v>
      </c>
      <c r="D14" s="292"/>
      <c r="E14" s="292">
        <v>2</v>
      </c>
      <c r="F14" s="293"/>
      <c r="G14" s="294"/>
      <c r="H14" s="292">
        <v>11</v>
      </c>
      <c r="I14" s="300"/>
      <c r="J14" s="295"/>
      <c r="K14" s="294">
        <v>6</v>
      </c>
      <c r="L14" s="294"/>
      <c r="M14" s="295"/>
      <c r="N14" s="294">
        <v>11</v>
      </c>
      <c r="O14" s="294"/>
      <c r="P14" s="292">
        <f t="shared" si="0"/>
        <v>30</v>
      </c>
      <c r="Q14" s="296"/>
      <c r="R14" s="297" t="e">
        <f t="shared" si="1"/>
        <v>#N/A</v>
      </c>
      <c r="S14" s="298"/>
    </row>
    <row r="15" spans="1:19" s="299" customFormat="1" ht="18.75">
      <c r="A15" s="300"/>
      <c r="B15" s="292" t="s">
        <v>423</v>
      </c>
      <c r="C15" s="302" t="s">
        <v>30</v>
      </c>
      <c r="D15" s="292"/>
      <c r="E15" s="292">
        <v>7</v>
      </c>
      <c r="F15" s="293"/>
      <c r="G15" s="294"/>
      <c r="H15" s="292">
        <v>12</v>
      </c>
      <c r="I15" s="300"/>
      <c r="J15" s="295"/>
      <c r="K15" s="294">
        <v>11</v>
      </c>
      <c r="L15" s="294"/>
      <c r="M15" s="295"/>
      <c r="N15" s="294">
        <v>12</v>
      </c>
      <c r="O15" s="294"/>
      <c r="P15" s="292">
        <f t="shared" si="0"/>
        <v>42</v>
      </c>
      <c r="Q15" s="296"/>
      <c r="R15" s="297" t="e">
        <f t="shared" si="1"/>
        <v>#N/A</v>
      </c>
      <c r="S15" s="298"/>
    </row>
    <row r="16" spans="1:19" ht="18.75">
      <c r="A16" s="15"/>
      <c r="B16" s="14" t="s">
        <v>424</v>
      </c>
      <c r="C16" s="290" t="s">
        <v>30</v>
      </c>
      <c r="D16" s="76"/>
      <c r="E16" s="14">
        <v>6</v>
      </c>
      <c r="F16" s="203"/>
      <c r="G16" s="202"/>
      <c r="H16" s="14">
        <v>4</v>
      </c>
      <c r="I16" s="82"/>
      <c r="J16" s="255"/>
      <c r="K16" s="75">
        <v>11</v>
      </c>
      <c r="L16" s="201"/>
      <c r="M16" s="255"/>
      <c r="N16" s="75">
        <v>10</v>
      </c>
      <c r="O16" s="201"/>
      <c r="P16" s="103">
        <f t="shared" si="0"/>
        <v>31</v>
      </c>
      <c r="Q16" s="30"/>
      <c r="R16" s="1" t="e">
        <f t="shared" si="1"/>
        <v>#N/A</v>
      </c>
      <c r="S16" s="84"/>
    </row>
    <row r="17" spans="1:18" ht="18.75">
      <c r="A17" s="15"/>
      <c r="B17" s="14" t="s">
        <v>425</v>
      </c>
      <c r="C17" s="14" t="s">
        <v>30</v>
      </c>
      <c r="D17" s="76"/>
      <c r="E17" s="14">
        <v>12</v>
      </c>
      <c r="F17" s="203"/>
      <c r="G17" s="74"/>
      <c r="H17" s="47">
        <v>6</v>
      </c>
      <c r="I17" s="82"/>
      <c r="J17" s="254"/>
      <c r="K17" s="75">
        <v>6</v>
      </c>
      <c r="L17" s="82"/>
      <c r="M17" s="254"/>
      <c r="N17" s="75">
        <v>5</v>
      </c>
      <c r="O17" s="82"/>
      <c r="P17" s="103">
        <f t="shared" si="0"/>
        <v>29</v>
      </c>
      <c r="Q17" s="30"/>
      <c r="R17" s="1" t="e">
        <f t="shared" si="1"/>
        <v>#N/A</v>
      </c>
    </row>
    <row r="18" spans="1:19" ht="18.75">
      <c r="A18" s="15"/>
      <c r="B18" s="14" t="s">
        <v>426</v>
      </c>
      <c r="C18" s="14" t="s">
        <v>40</v>
      </c>
      <c r="D18" s="76"/>
      <c r="E18" s="14">
        <v>11</v>
      </c>
      <c r="F18" s="203"/>
      <c r="G18" s="202"/>
      <c r="H18" s="14">
        <v>9</v>
      </c>
      <c r="I18" s="82"/>
      <c r="J18" s="255"/>
      <c r="K18" s="93">
        <v>10</v>
      </c>
      <c r="L18" s="201"/>
      <c r="M18" s="255"/>
      <c r="N18" s="93">
        <v>3</v>
      </c>
      <c r="O18" s="201"/>
      <c r="P18" s="103">
        <f t="shared" si="0"/>
        <v>33</v>
      </c>
      <c r="Q18" s="30"/>
      <c r="R18" s="1" t="e">
        <f t="shared" si="1"/>
        <v>#N/A</v>
      </c>
      <c r="S18" s="84"/>
    </row>
    <row r="19" spans="1:18" ht="18.75">
      <c r="A19" s="15"/>
      <c r="B19" s="14" t="s">
        <v>427</v>
      </c>
      <c r="C19" s="14" t="e">
        <f>VLOOKUP(A19,'механизат командная и база '!$A$4:$C$88,3,FALSE)</f>
        <v>#N/A</v>
      </c>
      <c r="D19" s="76"/>
      <c r="E19" s="14">
        <v>7</v>
      </c>
      <c r="F19" s="203"/>
      <c r="G19" s="202"/>
      <c r="H19" s="14">
        <v>4</v>
      </c>
      <c r="I19" s="82"/>
      <c r="J19" s="255"/>
      <c r="K19" s="75">
        <v>12</v>
      </c>
      <c r="L19" s="201"/>
      <c r="M19" s="255"/>
      <c r="N19" s="75">
        <v>4</v>
      </c>
      <c r="O19" s="201"/>
      <c r="P19" s="103">
        <f t="shared" si="0"/>
        <v>27</v>
      </c>
      <c r="Q19" s="30"/>
      <c r="R19" s="1" t="e">
        <f t="shared" si="1"/>
        <v>#N/A</v>
      </c>
    </row>
    <row r="20" spans="1:19" s="299" customFormat="1" ht="18.75">
      <c r="A20" s="300"/>
      <c r="B20" s="292" t="s">
        <v>428</v>
      </c>
      <c r="C20" s="292" t="e">
        <f>VLOOKUP(A20,'механизат командная и база '!$A$4:$C$88,3,FALSE)</f>
        <v>#N/A</v>
      </c>
      <c r="D20" s="292"/>
      <c r="E20" s="292">
        <v>11</v>
      </c>
      <c r="F20" s="293"/>
      <c r="G20" s="300"/>
      <c r="H20" s="292">
        <v>7</v>
      </c>
      <c r="I20" s="300"/>
      <c r="J20" s="301"/>
      <c r="K20" s="294">
        <v>9</v>
      </c>
      <c r="L20" s="300"/>
      <c r="M20" s="301"/>
      <c r="N20" s="294">
        <v>6</v>
      </c>
      <c r="O20" s="300"/>
      <c r="P20" s="292">
        <f t="shared" si="0"/>
        <v>33</v>
      </c>
      <c r="Q20" s="296"/>
      <c r="R20" s="297" t="e">
        <f t="shared" si="1"/>
        <v>#N/A</v>
      </c>
      <c r="S20" s="298"/>
    </row>
    <row r="21" spans="1:19" s="299" customFormat="1" ht="18.75">
      <c r="A21" s="300"/>
      <c r="B21" s="292" t="s">
        <v>429</v>
      </c>
      <c r="C21" s="292" t="e">
        <f>VLOOKUP(A21,'механизат командная и база '!$A$4:$C$88,3,FALSE)</f>
        <v>#N/A</v>
      </c>
      <c r="D21" s="292"/>
      <c r="E21" s="292">
        <v>12</v>
      </c>
      <c r="F21" s="293"/>
      <c r="G21" s="300"/>
      <c r="H21" s="292">
        <v>5</v>
      </c>
      <c r="I21" s="300"/>
      <c r="J21" s="301"/>
      <c r="K21" s="300">
        <v>7</v>
      </c>
      <c r="L21" s="300"/>
      <c r="M21" s="301"/>
      <c r="N21" s="300">
        <v>4</v>
      </c>
      <c r="O21" s="300"/>
      <c r="P21" s="292">
        <f t="shared" si="0"/>
        <v>28</v>
      </c>
      <c r="Q21" s="296"/>
      <c r="R21" s="297" t="e">
        <f t="shared" si="1"/>
        <v>#N/A</v>
      </c>
      <c r="S21" s="298"/>
    </row>
    <row r="22" spans="1:19" ht="18.75">
      <c r="A22" s="15"/>
      <c r="B22" s="14" t="s">
        <v>430</v>
      </c>
      <c r="C22" s="14" t="s">
        <v>45</v>
      </c>
      <c r="D22" s="76"/>
      <c r="E22" s="14">
        <v>5</v>
      </c>
      <c r="F22" s="203"/>
      <c r="G22" s="74"/>
      <c r="H22" s="47">
        <v>6</v>
      </c>
      <c r="I22" s="82"/>
      <c r="J22" s="254"/>
      <c r="K22" s="75">
        <v>5</v>
      </c>
      <c r="L22" s="82"/>
      <c r="M22" s="254"/>
      <c r="N22" s="75">
        <v>7</v>
      </c>
      <c r="O22" s="82"/>
      <c r="P22" s="103">
        <f t="shared" si="0"/>
        <v>23</v>
      </c>
      <c r="Q22" s="30"/>
      <c r="R22" s="1" t="e">
        <f t="shared" si="1"/>
        <v>#N/A</v>
      </c>
      <c r="S22" s="84"/>
    </row>
    <row r="23" spans="1:19" ht="18.75">
      <c r="A23" s="15"/>
      <c r="B23" s="14" t="s">
        <v>431</v>
      </c>
      <c r="C23" s="14" t="s">
        <v>45</v>
      </c>
      <c r="D23" s="76"/>
      <c r="E23" s="14">
        <v>4</v>
      </c>
      <c r="F23" s="203"/>
      <c r="G23" s="74"/>
      <c r="H23" s="47">
        <v>2</v>
      </c>
      <c r="I23" s="82"/>
      <c r="J23" s="254"/>
      <c r="K23" s="93">
        <v>1</v>
      </c>
      <c r="L23" s="82"/>
      <c r="M23" s="254"/>
      <c r="N23" s="93">
        <v>8</v>
      </c>
      <c r="O23" s="82"/>
      <c r="P23" s="103">
        <f t="shared" si="0"/>
        <v>15</v>
      </c>
      <c r="Q23" s="30">
        <v>2</v>
      </c>
      <c r="R23" s="1">
        <f t="shared" si="1"/>
        <v>108</v>
      </c>
      <c r="S23" s="84"/>
    </row>
    <row r="24" spans="1:19" s="299" customFormat="1" ht="18.75">
      <c r="A24" s="300"/>
      <c r="B24" s="292" t="s">
        <v>432</v>
      </c>
      <c r="C24" s="292" t="s">
        <v>45</v>
      </c>
      <c r="D24" s="292"/>
      <c r="E24" s="292">
        <v>1</v>
      </c>
      <c r="F24" s="293"/>
      <c r="G24" s="300"/>
      <c r="H24" s="292">
        <v>4</v>
      </c>
      <c r="I24" s="300"/>
      <c r="J24" s="301"/>
      <c r="K24" s="300">
        <v>1</v>
      </c>
      <c r="L24" s="300"/>
      <c r="M24" s="301"/>
      <c r="N24" s="300">
        <v>9</v>
      </c>
      <c r="O24" s="300"/>
      <c r="P24" s="292">
        <f t="shared" si="0"/>
        <v>15</v>
      </c>
      <c r="Q24" s="296">
        <v>2</v>
      </c>
      <c r="R24" s="297">
        <f t="shared" si="1"/>
        <v>108</v>
      </c>
      <c r="S24" s="298"/>
    </row>
    <row r="25" spans="1:18" s="299" customFormat="1" ht="18.75">
      <c r="A25" s="300"/>
      <c r="B25" s="292" t="s">
        <v>433</v>
      </c>
      <c r="C25" s="292" t="s">
        <v>45</v>
      </c>
      <c r="D25" s="292"/>
      <c r="E25" s="292">
        <v>8</v>
      </c>
      <c r="F25" s="293"/>
      <c r="G25" s="294"/>
      <c r="H25" s="292">
        <v>3</v>
      </c>
      <c r="I25" s="300"/>
      <c r="J25" s="295"/>
      <c r="K25" s="300">
        <v>8</v>
      </c>
      <c r="L25" s="294"/>
      <c r="M25" s="295"/>
      <c r="N25" s="300">
        <v>7</v>
      </c>
      <c r="O25" s="294"/>
      <c r="P25" s="292">
        <f t="shared" si="0"/>
        <v>26</v>
      </c>
      <c r="Q25" s="296"/>
      <c r="R25" s="297" t="e">
        <f t="shared" si="1"/>
        <v>#N/A</v>
      </c>
    </row>
    <row r="26" spans="1:19" ht="18.75">
      <c r="A26" s="15"/>
      <c r="B26" s="14" t="s">
        <v>434</v>
      </c>
      <c r="C26" s="14" t="s">
        <v>23</v>
      </c>
      <c r="D26" s="76"/>
      <c r="E26" s="14">
        <v>2</v>
      </c>
      <c r="F26" s="203"/>
      <c r="G26" s="74"/>
      <c r="H26" s="47">
        <v>8</v>
      </c>
      <c r="I26" s="82"/>
      <c r="J26" s="254"/>
      <c r="K26" s="75">
        <v>2</v>
      </c>
      <c r="L26" s="82"/>
      <c r="M26" s="254"/>
      <c r="N26" s="75">
        <v>2</v>
      </c>
      <c r="O26" s="82"/>
      <c r="P26" s="103">
        <f t="shared" si="0"/>
        <v>14</v>
      </c>
      <c r="Q26" s="30">
        <v>1</v>
      </c>
      <c r="R26" s="1">
        <f t="shared" si="1"/>
        <v>120</v>
      </c>
      <c r="S26" s="84"/>
    </row>
    <row r="27" spans="1:19" ht="18.75">
      <c r="A27" s="15"/>
      <c r="B27" s="14" t="s">
        <v>435</v>
      </c>
      <c r="C27" s="14" t="s">
        <v>23</v>
      </c>
      <c r="D27" s="76"/>
      <c r="E27" s="14">
        <v>9</v>
      </c>
      <c r="F27" s="203"/>
      <c r="G27" s="74"/>
      <c r="H27" s="47">
        <v>1</v>
      </c>
      <c r="I27" s="82"/>
      <c r="J27" s="254"/>
      <c r="K27" s="93">
        <v>9</v>
      </c>
      <c r="L27" s="82"/>
      <c r="M27" s="254"/>
      <c r="N27" s="93">
        <v>1</v>
      </c>
      <c r="O27" s="82"/>
      <c r="P27" s="103">
        <f t="shared" si="0"/>
        <v>20</v>
      </c>
      <c r="Q27" s="30">
        <v>3</v>
      </c>
      <c r="R27" s="1">
        <f t="shared" si="1"/>
        <v>98</v>
      </c>
      <c r="S27" s="84"/>
    </row>
    <row r="28" spans="1:19" s="299" customFormat="1" ht="18.75">
      <c r="A28" s="300"/>
      <c r="B28" s="292" t="s">
        <v>436</v>
      </c>
      <c r="C28" s="14" t="s">
        <v>23</v>
      </c>
      <c r="D28" s="292"/>
      <c r="E28" s="292">
        <v>5</v>
      </c>
      <c r="F28" s="293"/>
      <c r="G28" s="300"/>
      <c r="H28" s="292">
        <v>7</v>
      </c>
      <c r="I28" s="300"/>
      <c r="J28" s="301"/>
      <c r="K28" s="294">
        <v>4</v>
      </c>
      <c r="L28" s="300"/>
      <c r="M28" s="301"/>
      <c r="N28" s="294">
        <v>1</v>
      </c>
      <c r="O28" s="300"/>
      <c r="P28" s="292">
        <f t="shared" si="0"/>
        <v>17</v>
      </c>
      <c r="Q28" s="296">
        <v>3</v>
      </c>
      <c r="R28" s="297">
        <f t="shared" si="1"/>
        <v>98</v>
      </c>
      <c r="S28" s="298"/>
    </row>
    <row r="29" spans="1:19" s="299" customFormat="1" ht="18.75">
      <c r="A29" s="300"/>
      <c r="B29" s="292" t="s">
        <v>437</v>
      </c>
      <c r="C29" s="292" t="e">
        <f>VLOOKUP(A29,'механизат командная и база '!$A$4:$C$88,3,FALSE)</f>
        <v>#N/A</v>
      </c>
      <c r="D29" s="292"/>
      <c r="E29" s="292">
        <v>6</v>
      </c>
      <c r="F29" s="293"/>
      <c r="G29" s="300"/>
      <c r="H29" s="292">
        <v>10</v>
      </c>
      <c r="I29" s="300"/>
      <c r="J29" s="301"/>
      <c r="K29" s="300">
        <v>12</v>
      </c>
      <c r="L29" s="300"/>
      <c r="M29" s="301"/>
      <c r="N29" s="300">
        <v>2</v>
      </c>
      <c r="O29" s="300"/>
      <c r="P29" s="292">
        <f t="shared" si="0"/>
        <v>30</v>
      </c>
      <c r="Q29" s="296"/>
      <c r="R29" s="297" t="e">
        <f t="shared" si="1"/>
        <v>#N/A</v>
      </c>
      <c r="S29" s="298"/>
    </row>
  </sheetData>
  <sheetProtection/>
  <mergeCells count="6">
    <mergeCell ref="B2:Q2"/>
    <mergeCell ref="D3:F3"/>
    <mergeCell ref="G3:I3"/>
    <mergeCell ref="J3:L3"/>
    <mergeCell ref="R3:R4"/>
    <mergeCell ref="M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8"/>
  <sheetViews>
    <sheetView zoomScalePageLayoutView="0" workbookViewId="0" topLeftCell="L1">
      <selection activeCell="U24" sqref="U24"/>
    </sheetView>
  </sheetViews>
  <sheetFormatPr defaultColWidth="9.140625" defaultRowHeight="12.75"/>
  <cols>
    <col min="1" max="1" width="8.140625" style="8" customWidth="1"/>
    <col min="3" max="3" width="7.7109375" style="8" customWidth="1"/>
    <col min="4" max="4" width="7.8515625" style="72" customWidth="1"/>
    <col min="5" max="5" width="27.140625" style="0" customWidth="1"/>
    <col min="6" max="6" width="17.28125" style="0" customWidth="1"/>
    <col min="7" max="7" width="12.7109375" style="0" bestFit="1" customWidth="1"/>
    <col min="8" max="10" width="12.7109375" style="0" customWidth="1"/>
    <col min="11" max="11" width="21.57421875" style="0" customWidth="1"/>
  </cols>
  <sheetData>
    <row r="1" spans="5:6" ht="15.75">
      <c r="E1" s="10" t="s">
        <v>63</v>
      </c>
      <c r="F1" s="10"/>
    </row>
    <row r="2" spans="1:6" ht="20.25">
      <c r="A2" s="48"/>
      <c r="B2" s="51" t="s">
        <v>62</v>
      </c>
      <c r="C2" s="48"/>
      <c r="D2" s="162"/>
      <c r="E2" s="26" t="s">
        <v>53</v>
      </c>
      <c r="F2" s="26"/>
    </row>
    <row r="3" spans="1:11" ht="79.5" thickBot="1">
      <c r="A3" s="134" t="s">
        <v>103</v>
      </c>
      <c r="B3" s="135" t="s">
        <v>60</v>
      </c>
      <c r="C3" s="134" t="s">
        <v>104</v>
      </c>
      <c r="D3" s="163" t="s">
        <v>61</v>
      </c>
      <c r="E3" s="136" t="s">
        <v>54</v>
      </c>
      <c r="F3" s="136" t="s">
        <v>0</v>
      </c>
      <c r="G3" s="136" t="s">
        <v>1</v>
      </c>
      <c r="H3" s="136"/>
      <c r="I3" s="136"/>
      <c r="J3" s="146" t="s">
        <v>32</v>
      </c>
      <c r="K3" s="136" t="s">
        <v>0</v>
      </c>
    </row>
    <row r="4" spans="1:11" ht="17.25" thickBot="1" thickTop="1">
      <c r="A4" s="137" t="str">
        <f>B4&amp;COUNTIF($B$4:B4,B4)</f>
        <v>0</v>
      </c>
      <c r="B4" s="138"/>
      <c r="C4" s="139" t="str">
        <f>D4&amp;COUNTIF($D$4:D4,D4)</f>
        <v>58ж1</v>
      </c>
      <c r="D4" s="140" t="s">
        <v>306</v>
      </c>
      <c r="E4" s="140" t="s">
        <v>305</v>
      </c>
      <c r="F4" s="140" t="s">
        <v>20</v>
      </c>
      <c r="G4" s="140">
        <f>VLOOKUP(C4,'гири лич  '!$A$45:$L$77,6,FALSE)</f>
        <v>108</v>
      </c>
      <c r="H4" s="139"/>
      <c r="I4" s="139"/>
      <c r="J4" s="141"/>
      <c r="K4" s="142"/>
    </row>
    <row r="5" spans="1:11" ht="16.5" thickTop="1">
      <c r="A5" s="143" t="str">
        <f>B5&amp;COUNTIF($B$4:B5,B5)</f>
        <v>0</v>
      </c>
      <c r="B5" s="49"/>
      <c r="C5" s="47" t="str">
        <f>D5&amp;COUNTIF($D$4:D5,D5)</f>
        <v>св68ж1</v>
      </c>
      <c r="D5" s="133" t="s">
        <v>308</v>
      </c>
      <c r="E5" s="133" t="s">
        <v>307</v>
      </c>
      <c r="F5" s="133" t="s">
        <v>20</v>
      </c>
      <c r="G5" s="140">
        <f>VLOOKUP(C5,'гири лич  '!$A$45:$L$77,6,FALSE)</f>
        <v>85</v>
      </c>
      <c r="H5" s="47"/>
      <c r="I5" s="47"/>
      <c r="J5" s="14"/>
      <c r="K5" s="66"/>
    </row>
    <row r="6" spans="1:11" ht="15.75">
      <c r="A6" s="143" t="str">
        <f>B6&amp;COUNTIF($B$4:B6,B6)</f>
        <v>св95м1</v>
      </c>
      <c r="B6" s="49" t="s">
        <v>348</v>
      </c>
      <c r="C6" s="47" t="str">
        <f>D6&amp;COUNTIF($D$4:D6,D6)</f>
        <v>0</v>
      </c>
      <c r="D6" s="133"/>
      <c r="E6" s="47" t="s">
        <v>364</v>
      </c>
      <c r="F6" s="47" t="s">
        <v>20</v>
      </c>
      <c r="G6" s="47">
        <f>VLOOKUP(A6,'гири лич  '!$A$5:$M39,13,FALSE)</f>
        <v>188</v>
      </c>
      <c r="H6" s="47"/>
      <c r="I6" s="47"/>
      <c r="J6" s="14"/>
      <c r="K6" s="66"/>
    </row>
    <row r="7" spans="1:11" ht="16.5" customHeight="1" thickBot="1">
      <c r="A7" s="143" t="str">
        <f>B7&amp;COUNTIF($B$4:B7,B7)</f>
        <v>95м1</v>
      </c>
      <c r="B7" s="49" t="s">
        <v>356</v>
      </c>
      <c r="C7" s="47" t="str">
        <f>D7&amp;COUNTIF($D$4:D7,D7)</f>
        <v>0</v>
      </c>
      <c r="D7" s="133"/>
      <c r="E7" s="47" t="s">
        <v>365</v>
      </c>
      <c r="F7" s="47" t="s">
        <v>20</v>
      </c>
      <c r="G7" s="47">
        <f>VLOOKUP(A7,'гири лич  '!$A$5:$M41,13,FALSE)</f>
        <v>188</v>
      </c>
      <c r="H7" s="47"/>
      <c r="I7" s="47"/>
      <c r="J7" s="14"/>
      <c r="K7" s="66"/>
    </row>
    <row r="8" spans="1:11" s="101" customFormat="1" ht="20.25" thickBot="1" thickTop="1">
      <c r="A8" s="144" t="str">
        <f>B8&amp;COUNTIF($B$4:B8,B8)</f>
        <v>0</v>
      </c>
      <c r="B8" s="99"/>
      <c r="C8" s="99" t="str">
        <f>D8&amp;COUNTIF($D$4:D8,D8)</f>
        <v>0</v>
      </c>
      <c r="D8" s="164"/>
      <c r="E8" s="99"/>
      <c r="F8" s="99"/>
      <c r="G8" s="99"/>
      <c r="H8" s="102">
        <f>I8*10</f>
        <v>56910</v>
      </c>
      <c r="I8" s="99" t="str">
        <f>J8&amp;COUNTIF($J8:J$8,J8)</f>
        <v>5691</v>
      </c>
      <c r="J8" s="100">
        <f>SUM(G4:G7)</f>
        <v>569</v>
      </c>
      <c r="K8" s="206" t="s">
        <v>20</v>
      </c>
    </row>
    <row r="9" spans="1:11" ht="17.25" thickBot="1" thickTop="1">
      <c r="A9" s="137" t="str">
        <f>B9&amp;COUNTIF($B$4:B9,B9)</f>
        <v>0</v>
      </c>
      <c r="B9" s="138"/>
      <c r="C9" s="139" t="str">
        <f>D9&amp;COUNTIF($D$4:D9,D9)</f>
        <v>58ж2</v>
      </c>
      <c r="D9" s="140" t="s">
        <v>306</v>
      </c>
      <c r="E9" s="140" t="s">
        <v>309</v>
      </c>
      <c r="F9" s="140" t="s">
        <v>45</v>
      </c>
      <c r="G9" s="140">
        <f>VLOOKUP(C9,'гири лич  '!$A$45:$L$77,6,FALSE)</f>
        <v>120</v>
      </c>
      <c r="H9" s="139"/>
      <c r="I9" s="139"/>
      <c r="J9" s="141"/>
      <c r="K9" s="142"/>
    </row>
    <row r="10" spans="1:11" ht="16.5" thickTop="1">
      <c r="A10" s="143" t="str">
        <f>B10&amp;COUNTIF($B$4:B10,B10)</f>
        <v>0</v>
      </c>
      <c r="B10" s="49"/>
      <c r="C10" s="47" t="str">
        <f>D10&amp;COUNTIF($D$4:D10,D10)</f>
        <v>63ж1</v>
      </c>
      <c r="D10" s="133" t="s">
        <v>310</v>
      </c>
      <c r="E10" s="133" t="s">
        <v>379</v>
      </c>
      <c r="F10" s="133" t="s">
        <v>45</v>
      </c>
      <c r="G10" s="140">
        <f>VLOOKUP(C10,'гири лич  '!$A$45:$L$77,6,FALSE)</f>
        <v>98</v>
      </c>
      <c r="H10" s="47"/>
      <c r="I10" s="47"/>
      <c r="J10" s="14"/>
      <c r="K10" s="66"/>
    </row>
    <row r="11" spans="1:11" ht="15.75">
      <c r="A11" s="143" t="str">
        <f>B11&amp;COUNTIF($B$4:B11,B11)</f>
        <v>85м1</v>
      </c>
      <c r="B11" s="49" t="s">
        <v>352</v>
      </c>
      <c r="C11" s="47" t="str">
        <f>D11&amp;COUNTIF($D$4:D11,D11)</f>
        <v>0</v>
      </c>
      <c r="D11" s="133"/>
      <c r="E11" s="47" t="s">
        <v>360</v>
      </c>
      <c r="F11" s="47" t="s">
        <v>45</v>
      </c>
      <c r="G11" s="47">
        <f>VLOOKUP(A11,'гири лич  '!$A$5:$M46,13,FALSE)</f>
        <v>216</v>
      </c>
      <c r="H11" s="47"/>
      <c r="I11" s="47"/>
      <c r="J11" s="14"/>
      <c r="K11" s="66"/>
    </row>
    <row r="12" spans="1:11" ht="15.75">
      <c r="A12" s="143" t="str">
        <f>B12&amp;COUNTIF($B$4:B12,B12)</f>
        <v>св95м2</v>
      </c>
      <c r="B12" s="49" t="s">
        <v>348</v>
      </c>
      <c r="C12" s="47" t="str">
        <f>D12&amp;COUNTIF($D$4:D12,D12)</f>
        <v>0</v>
      </c>
      <c r="D12" s="133"/>
      <c r="E12" s="47" t="s">
        <v>361</v>
      </c>
      <c r="F12" s="47" t="s">
        <v>45</v>
      </c>
      <c r="G12" s="47">
        <f>VLOOKUP(A12,'гири лич  '!$A$5:$M46,13,FALSE)</f>
        <v>206</v>
      </c>
      <c r="H12" s="47"/>
      <c r="I12" s="47"/>
      <c r="J12" s="14"/>
      <c r="K12" s="66"/>
    </row>
    <row r="13" spans="1:11" ht="19.5" thickBot="1">
      <c r="A13" s="144" t="str">
        <f>B13&amp;COUNTIF($B$4:B13,B13)</f>
        <v>0</v>
      </c>
      <c r="B13" s="99"/>
      <c r="C13" s="99" t="str">
        <f>D13&amp;COUNTIF($D$4:D13,D13)</f>
        <v>0</v>
      </c>
      <c r="D13" s="164"/>
      <c r="E13" s="99"/>
      <c r="F13" s="99"/>
      <c r="G13" s="99"/>
      <c r="H13" s="102">
        <f>I13*10</f>
        <v>64010</v>
      </c>
      <c r="I13" s="99" t="str">
        <f>J13&amp;COUNTIF($J$8:J13,J13)</f>
        <v>6401</v>
      </c>
      <c r="J13" s="100">
        <f>SUM(G9:G12)</f>
        <v>640</v>
      </c>
      <c r="K13" s="145" t="s">
        <v>45</v>
      </c>
    </row>
    <row r="14" spans="1:11" ht="17.25" thickBot="1" thickTop="1">
      <c r="A14" s="137" t="str">
        <f>B14&amp;COUNTIF($B$4:B14,B14)</f>
        <v>0</v>
      </c>
      <c r="B14" s="138"/>
      <c r="C14" s="139" t="str">
        <f>D14&amp;COUNTIF($D$4:D14,D14)</f>
        <v>58ж3</v>
      </c>
      <c r="D14" s="140" t="s">
        <v>306</v>
      </c>
      <c r="E14" s="140" t="s">
        <v>302</v>
      </c>
      <c r="F14" s="140" t="s">
        <v>21</v>
      </c>
      <c r="G14" s="140">
        <f>VLOOKUP(C14,'гири лич  '!$A$45:$L$77,6,FALSE)</f>
        <v>85</v>
      </c>
      <c r="H14" s="139"/>
      <c r="I14" s="139"/>
      <c r="J14" s="141"/>
      <c r="K14" s="142"/>
    </row>
    <row r="15" spans="1:11" ht="16.5" thickTop="1">
      <c r="A15" s="143" t="str">
        <f>B15&amp;COUNTIF($B$4:B15,B15)</f>
        <v>0</v>
      </c>
      <c r="B15" s="49"/>
      <c r="C15" s="47" t="str">
        <f>D15&amp;COUNTIF($D$4:D15,D15)</f>
        <v>св68ж2</v>
      </c>
      <c r="D15" s="133" t="s">
        <v>308</v>
      </c>
      <c r="E15" s="133" t="s">
        <v>299</v>
      </c>
      <c r="F15" s="133" t="s">
        <v>21</v>
      </c>
      <c r="G15" s="140">
        <f>VLOOKUP(C15,'гири лич  '!$A$45:$L$77,6,FALSE)</f>
        <v>79</v>
      </c>
      <c r="H15" s="47"/>
      <c r="I15" s="47"/>
      <c r="J15" s="14"/>
      <c r="K15" s="66"/>
    </row>
    <row r="16" spans="1:11" ht="15.75">
      <c r="A16" s="143" t="str">
        <f>B16&amp;COUNTIF($B$4:B16,B16)</f>
        <v>св95м3</v>
      </c>
      <c r="B16" s="49" t="s">
        <v>348</v>
      </c>
      <c r="C16" s="47" t="str">
        <f>D16&amp;COUNTIF($D$4:D16,D16)</f>
        <v>0</v>
      </c>
      <c r="D16" s="133"/>
      <c r="E16" s="47" t="s">
        <v>395</v>
      </c>
      <c r="F16" s="47" t="s">
        <v>21</v>
      </c>
      <c r="G16" s="47">
        <f>VLOOKUP(A16,'гири лич  '!$A$5:$M48,13,FALSE)</f>
        <v>193</v>
      </c>
      <c r="H16" s="47"/>
      <c r="I16" s="47"/>
      <c r="J16" s="14"/>
      <c r="K16" s="66"/>
    </row>
    <row r="17" spans="1:11" ht="15.75">
      <c r="A17" s="143" t="str">
        <f>B17&amp;COUNTIF($B$4:B17,B17)</f>
        <v>св95м4</v>
      </c>
      <c r="B17" s="49" t="s">
        <v>348</v>
      </c>
      <c r="C17" s="47" t="str">
        <f>D17&amp;COUNTIF($D$4:D17,D17)</f>
        <v>0</v>
      </c>
      <c r="D17" s="133"/>
      <c r="E17" s="47" t="s">
        <v>373</v>
      </c>
      <c r="F17" s="47" t="s">
        <v>21</v>
      </c>
      <c r="G17" s="47">
        <f>VLOOKUP(A17,'гири лич  '!$A$5:$M48,13,FALSE)</f>
        <v>161</v>
      </c>
      <c r="H17" s="47"/>
      <c r="I17" s="47"/>
      <c r="J17" s="14"/>
      <c r="K17" s="66"/>
    </row>
    <row r="18" spans="1:11" ht="19.5" thickBot="1">
      <c r="A18" s="144" t="str">
        <f>B18&amp;COUNTIF($B$4:B18,B18)</f>
        <v>0</v>
      </c>
      <c r="B18" s="99"/>
      <c r="C18" s="99" t="str">
        <f>D18&amp;COUNTIF($D$4:D18,D18)</f>
        <v>0</v>
      </c>
      <c r="D18" s="164"/>
      <c r="E18" s="99"/>
      <c r="F18" s="99"/>
      <c r="G18" s="99"/>
      <c r="H18" s="102">
        <f>I18*10</f>
        <v>51810</v>
      </c>
      <c r="I18" s="99" t="str">
        <f>J18&amp;COUNTIF($J$8:J18,J18)</f>
        <v>5181</v>
      </c>
      <c r="J18" s="100">
        <f>SUM(G14:G17)</f>
        <v>518</v>
      </c>
      <c r="K18" s="145" t="s">
        <v>21</v>
      </c>
    </row>
    <row r="19" spans="1:11" ht="17.25" thickBot="1" thickTop="1">
      <c r="A19" s="137" t="str">
        <f>B19&amp;COUNTIF($B$4:B19,B19)</f>
        <v>0</v>
      </c>
      <c r="B19" s="138"/>
      <c r="C19" s="139" t="str">
        <f>D19&amp;COUNTIF($D$4:D19,D19)</f>
        <v>58ж4</v>
      </c>
      <c r="D19" s="140" t="s">
        <v>306</v>
      </c>
      <c r="E19" s="140" t="s">
        <v>311</v>
      </c>
      <c r="F19" s="140" t="s">
        <v>25</v>
      </c>
      <c r="G19" s="140">
        <f>VLOOKUP(C19,'гири лич  '!$A$45:$L$77,6,FALSE)</f>
        <v>98</v>
      </c>
      <c r="H19" s="139"/>
      <c r="I19" s="139"/>
      <c r="J19" s="141"/>
      <c r="K19" s="142"/>
    </row>
    <row r="20" spans="1:11" ht="16.5" thickTop="1">
      <c r="A20" s="143" t="str">
        <f>B20&amp;COUNTIF($B$4:B20,B20)</f>
        <v>0</v>
      </c>
      <c r="B20" s="49"/>
      <c r="C20" s="47" t="str">
        <f>D20&amp;COUNTIF($D$4:D20,D20)</f>
        <v>68ж1</v>
      </c>
      <c r="D20" s="133" t="s">
        <v>312</v>
      </c>
      <c r="E20" s="133" t="s">
        <v>112</v>
      </c>
      <c r="F20" s="133" t="s">
        <v>25</v>
      </c>
      <c r="G20" s="140">
        <f>VLOOKUP(C20,'гири лич  '!$A$45:$L$77,6,FALSE)</f>
        <v>85</v>
      </c>
      <c r="H20" s="47"/>
      <c r="I20" s="47"/>
      <c r="J20" s="14"/>
      <c r="K20" s="66"/>
    </row>
    <row r="21" spans="1:11" ht="15.75">
      <c r="A21" s="143" t="str">
        <f>B21&amp;COUNTIF($B$4:B21,B21)</f>
        <v>0</v>
      </c>
      <c r="B21" s="49"/>
      <c r="C21" s="47" t="str">
        <f>D21&amp;COUNTIF($D$4:D21,D21)</f>
        <v>0</v>
      </c>
      <c r="D21" s="133"/>
      <c r="E21" s="47"/>
      <c r="F21" s="47"/>
      <c r="G21" s="47">
        <v>0</v>
      </c>
      <c r="H21" s="47"/>
      <c r="I21" s="47"/>
      <c r="J21" s="14"/>
      <c r="K21" s="66"/>
    </row>
    <row r="22" spans="1:11" ht="15.75">
      <c r="A22" s="143" t="str">
        <f>B22&amp;COUNTIF($B$4:B22,B22)</f>
        <v>0</v>
      </c>
      <c r="B22" s="49"/>
      <c r="C22" s="47" t="str">
        <f>D22&amp;COUNTIF($D$4:D22,D22)</f>
        <v>0</v>
      </c>
      <c r="D22" s="133"/>
      <c r="E22" s="47"/>
      <c r="F22" s="47"/>
      <c r="G22" s="47">
        <v>0</v>
      </c>
      <c r="H22" s="47"/>
      <c r="I22" s="47"/>
      <c r="J22" s="14"/>
      <c r="K22" s="66"/>
    </row>
    <row r="23" spans="1:11" ht="19.5" thickBot="1">
      <c r="A23" s="144" t="str">
        <f>B23&amp;COUNTIF($B$4:B23,B23)</f>
        <v>0</v>
      </c>
      <c r="B23" s="99"/>
      <c r="C23" s="99" t="str">
        <f>D23&amp;COUNTIF($D$4:D23,D23)</f>
        <v>0</v>
      </c>
      <c r="D23" s="164"/>
      <c r="E23" s="99"/>
      <c r="F23" s="99"/>
      <c r="G23" s="99"/>
      <c r="H23" s="102">
        <f>I23*10</f>
        <v>18310</v>
      </c>
      <c r="I23" s="99" t="str">
        <f>J23&amp;COUNTIF($J$8:J23,J23)</f>
        <v>1831</v>
      </c>
      <c r="J23" s="100">
        <f>SUM(G19:G22)</f>
        <v>183</v>
      </c>
      <c r="K23" s="145" t="s">
        <v>25</v>
      </c>
    </row>
    <row r="24" spans="1:11" ht="17.25" thickBot="1" thickTop="1">
      <c r="A24" s="137" t="str">
        <f>B24&amp;COUNTIF($B$4:B24,B24)</f>
        <v>0</v>
      </c>
      <c r="B24" s="138"/>
      <c r="C24" s="139" t="str">
        <f>D24&amp;COUNTIF($D$4:D24,D24)</f>
        <v>58ж5</v>
      </c>
      <c r="D24" s="140" t="s">
        <v>306</v>
      </c>
      <c r="E24" s="140" t="s">
        <v>313</v>
      </c>
      <c r="F24" s="140" t="s">
        <v>27</v>
      </c>
      <c r="G24" s="140">
        <f>VLOOKUP(C24,'гири лич  '!$A$45:$L$77,6,FALSE)</f>
        <v>90</v>
      </c>
      <c r="H24" s="139"/>
      <c r="I24" s="139"/>
      <c r="J24" s="141"/>
      <c r="K24" s="142"/>
    </row>
    <row r="25" spans="1:11" ht="16.5" thickTop="1">
      <c r="A25" s="143" t="str">
        <f>B25&amp;COUNTIF($B$4:B25,B25)</f>
        <v>0</v>
      </c>
      <c r="B25" s="49"/>
      <c r="C25" s="47" t="str">
        <f>D25&amp;COUNTIF($D$4:D25,D25)</f>
        <v>св68ж3</v>
      </c>
      <c r="D25" s="133" t="s">
        <v>308</v>
      </c>
      <c r="E25" s="133" t="s">
        <v>314</v>
      </c>
      <c r="F25" s="133" t="s">
        <v>27</v>
      </c>
      <c r="G25" s="140">
        <f>VLOOKUP(C25,'гири лич  '!$A$45:$L$77,6,FALSE)</f>
        <v>70</v>
      </c>
      <c r="H25" s="47"/>
      <c r="I25" s="47"/>
      <c r="J25" s="14"/>
      <c r="K25" s="66"/>
    </row>
    <row r="26" spans="1:11" ht="15.75">
      <c r="A26" s="143" t="str">
        <f>B26&amp;COUNTIF($B$4:B26,B26)</f>
        <v>68м1</v>
      </c>
      <c r="B26" s="49" t="s">
        <v>346</v>
      </c>
      <c r="C26" s="47" t="str">
        <f>D26&amp;COUNTIF($D$4:D26,D26)</f>
        <v>0</v>
      </c>
      <c r="D26" s="133"/>
      <c r="E26" s="47" t="s">
        <v>350</v>
      </c>
      <c r="F26" s="47" t="s">
        <v>27</v>
      </c>
      <c r="G26" s="47">
        <f>VLOOKUP(A26,'гири лич  '!$A$5:$M53,13,FALSE)</f>
        <v>216</v>
      </c>
      <c r="H26" s="47"/>
      <c r="I26" s="47"/>
      <c r="J26" s="14"/>
      <c r="K26" s="66"/>
    </row>
    <row r="27" spans="1:11" ht="15.75">
      <c r="A27" s="143" t="str">
        <f>B27&amp;COUNTIF($B$4:B27,B27)</f>
        <v>св95м5</v>
      </c>
      <c r="B27" s="49" t="s">
        <v>348</v>
      </c>
      <c r="C27" s="47" t="str">
        <f>D27&amp;COUNTIF($D$4:D27,D27)</f>
        <v>0</v>
      </c>
      <c r="D27" s="133"/>
      <c r="E27" s="47" t="s">
        <v>351</v>
      </c>
      <c r="F27" s="47" t="s">
        <v>27</v>
      </c>
      <c r="G27" s="47">
        <f>VLOOKUP(A27,'гири лич  '!$A$5:$M53,13,FALSE)</f>
        <v>166</v>
      </c>
      <c r="H27" s="47"/>
      <c r="I27" s="47"/>
      <c r="J27" s="14"/>
      <c r="K27" s="66"/>
    </row>
    <row r="28" spans="1:11" ht="19.5" thickBot="1">
      <c r="A28" s="144" t="str">
        <f>B28&amp;COUNTIF($B$4:B28,B28)</f>
        <v>0</v>
      </c>
      <c r="B28" s="99"/>
      <c r="C28" s="99" t="str">
        <f>D28&amp;COUNTIF($D$4:D28,D28)</f>
        <v>0</v>
      </c>
      <c r="D28" s="164"/>
      <c r="E28" s="99"/>
      <c r="F28" s="99"/>
      <c r="G28" s="99"/>
      <c r="H28" s="102">
        <f>I28*10</f>
        <v>54210</v>
      </c>
      <c r="I28" s="99" t="str">
        <f>J28&amp;COUNTIF($J$8:J28,J28)</f>
        <v>5421</v>
      </c>
      <c r="J28" s="100">
        <f>SUM(G24:G27)</f>
        <v>542</v>
      </c>
      <c r="K28" s="145" t="s">
        <v>27</v>
      </c>
    </row>
    <row r="29" spans="1:11" ht="17.25" thickBot="1" thickTop="1">
      <c r="A29" s="137" t="str">
        <f>B29&amp;COUNTIF($B$4:B29,B29)</f>
        <v>0</v>
      </c>
      <c r="B29" s="138"/>
      <c r="C29" s="139" t="str">
        <f>D29&amp;COUNTIF($D$4:D29,D29)</f>
        <v>68ж2</v>
      </c>
      <c r="D29" s="140" t="s">
        <v>312</v>
      </c>
      <c r="E29" s="140" t="s">
        <v>315</v>
      </c>
      <c r="F29" s="140" t="s">
        <v>23</v>
      </c>
      <c r="G29" s="140">
        <f>VLOOKUP(C29,'гири лич  '!$A$45:$L$77,6,FALSE)</f>
        <v>82</v>
      </c>
      <c r="H29" s="139"/>
      <c r="I29" s="139"/>
      <c r="J29" s="141"/>
      <c r="K29" s="142"/>
    </row>
    <row r="30" spans="1:11" ht="16.5" thickTop="1">
      <c r="A30" s="143" t="str">
        <f>B30&amp;COUNTIF($B$4:B30,B30)</f>
        <v>0</v>
      </c>
      <c r="B30" s="49"/>
      <c r="C30" s="47" t="str">
        <f>D30&amp;COUNTIF($D$4:D30,D30)</f>
        <v>63ж2</v>
      </c>
      <c r="D30" s="133" t="s">
        <v>310</v>
      </c>
      <c r="E30" s="133" t="s">
        <v>316</v>
      </c>
      <c r="F30" s="133" t="s">
        <v>23</v>
      </c>
      <c r="G30" s="140">
        <f>VLOOKUP(C30,'гири лич  '!$A$45:$L$77,6,FALSE)</f>
        <v>90</v>
      </c>
      <c r="H30" s="47"/>
      <c r="I30" s="47"/>
      <c r="J30" s="14"/>
      <c r="K30" s="66"/>
    </row>
    <row r="31" spans="1:11" ht="15.75">
      <c r="A31" s="143" t="str">
        <f>B31&amp;COUNTIF($B$4:B31,B31)</f>
        <v>85м2</v>
      </c>
      <c r="B31" s="49" t="s">
        <v>352</v>
      </c>
      <c r="C31" s="47" t="str">
        <f>D31&amp;COUNTIF($D$4:D31,D31)</f>
        <v>0</v>
      </c>
      <c r="D31" s="133"/>
      <c r="E31" s="47" t="s">
        <v>391</v>
      </c>
      <c r="F31" s="47" t="s">
        <v>23</v>
      </c>
      <c r="G31" s="47">
        <f>VLOOKUP(A31,'гири лич  '!$A$5:$M54,13,FALSE)</f>
        <v>170</v>
      </c>
      <c r="H31" s="47"/>
      <c r="I31" s="47"/>
      <c r="J31" s="14"/>
      <c r="K31" s="66"/>
    </row>
    <row r="32" spans="1:11" ht="15.75">
      <c r="A32" s="143" t="str">
        <f>B32&amp;COUNTIF($B$4:B32,B32)</f>
        <v>95м2</v>
      </c>
      <c r="B32" s="49" t="s">
        <v>356</v>
      </c>
      <c r="C32" s="47" t="str">
        <f>D32&amp;COUNTIF($D$4:D32,D32)</f>
        <v>0</v>
      </c>
      <c r="D32" s="133"/>
      <c r="E32" s="47" t="s">
        <v>359</v>
      </c>
      <c r="F32" s="47" t="s">
        <v>23</v>
      </c>
      <c r="G32" s="47">
        <f>VLOOKUP(A32,'гири лич  '!$A$5:$M54,13,FALSE)</f>
        <v>170</v>
      </c>
      <c r="H32" s="47"/>
      <c r="I32" s="47"/>
      <c r="J32" s="14"/>
      <c r="K32" s="66"/>
    </row>
    <row r="33" spans="1:11" ht="19.5" thickBot="1">
      <c r="A33" s="144" t="str">
        <f>B33&amp;COUNTIF($B$4:B33,B33)</f>
        <v>0</v>
      </c>
      <c r="B33" s="99"/>
      <c r="C33" s="99" t="str">
        <f>D33&amp;COUNTIF($D$4:D33,D33)</f>
        <v>0</v>
      </c>
      <c r="D33" s="164"/>
      <c r="E33" s="99"/>
      <c r="F33" s="99"/>
      <c r="G33" s="99"/>
      <c r="H33" s="102">
        <f>I33*10</f>
        <v>51210</v>
      </c>
      <c r="I33" s="99" t="str">
        <f>J33&amp;COUNTIF($J$8:J33,J33)</f>
        <v>5121</v>
      </c>
      <c r="J33" s="100">
        <f>SUM(G29:G32)</f>
        <v>512</v>
      </c>
      <c r="K33" s="145" t="s">
        <v>23</v>
      </c>
    </row>
    <row r="34" spans="1:11" ht="17.25" thickBot="1" thickTop="1">
      <c r="A34" s="137" t="str">
        <f>B34&amp;COUNTIF($B$4:B34,B34)</f>
        <v>0</v>
      </c>
      <c r="B34" s="138"/>
      <c r="C34" s="139" t="str">
        <f>D34&amp;COUNTIF($D$4:D34,D34)</f>
        <v>68ж3</v>
      </c>
      <c r="D34" s="140" t="s">
        <v>312</v>
      </c>
      <c r="E34" s="140" t="s">
        <v>317</v>
      </c>
      <c r="F34" s="140" t="s">
        <v>28</v>
      </c>
      <c r="G34" s="140">
        <f>VLOOKUP(C34,'гири лич  '!$A$45:$L$77,6,FALSE)</f>
        <v>76</v>
      </c>
      <c r="H34" s="139"/>
      <c r="I34" s="139"/>
      <c r="J34" s="141"/>
      <c r="K34" s="142"/>
    </row>
    <row r="35" spans="1:11" ht="16.5" thickTop="1">
      <c r="A35" s="143" t="str">
        <f>B35&amp;COUNTIF($B$4:B35,B35)</f>
        <v>0</v>
      </c>
      <c r="B35" s="49"/>
      <c r="C35" s="47" t="str">
        <f>D35&amp;COUNTIF($D$4:D35,D35)</f>
        <v>68ж4</v>
      </c>
      <c r="D35" s="133" t="s">
        <v>312</v>
      </c>
      <c r="E35" s="133" t="s">
        <v>380</v>
      </c>
      <c r="F35" s="133" t="s">
        <v>28</v>
      </c>
      <c r="G35" s="140">
        <f>VLOOKUP(C35,'гири лич  '!$A$45:$L$77,6,FALSE)</f>
        <v>98</v>
      </c>
      <c r="H35" s="47"/>
      <c r="I35" s="47"/>
      <c r="J35" s="14"/>
      <c r="K35" s="66"/>
    </row>
    <row r="36" spans="1:11" ht="15.75">
      <c r="A36" s="143" t="str">
        <f>B36&amp;COUNTIF($B$4:B36,B36)</f>
        <v>73м1</v>
      </c>
      <c r="B36" s="49" t="s">
        <v>340</v>
      </c>
      <c r="C36" s="47" t="str">
        <f>D36&amp;COUNTIF($D$4:D36,D36)</f>
        <v>0</v>
      </c>
      <c r="D36" s="133"/>
      <c r="E36" s="47" t="s">
        <v>388</v>
      </c>
      <c r="F36" s="47" t="s">
        <v>28</v>
      </c>
      <c r="G36" s="47">
        <f>VLOOKUP(A36,'гири лич  '!$A$5:$M57,13,FALSE)</f>
        <v>240</v>
      </c>
      <c r="H36" s="47"/>
      <c r="I36" s="47"/>
      <c r="J36" s="14"/>
      <c r="K36" s="66"/>
    </row>
    <row r="37" spans="1:11" ht="15.75">
      <c r="A37" s="143" t="str">
        <f>B37&amp;COUNTIF($B$4:B37,B37)</f>
        <v>95м3</v>
      </c>
      <c r="B37" s="49" t="s">
        <v>356</v>
      </c>
      <c r="C37" s="47" t="str">
        <f>D37&amp;COUNTIF($D$4:D37,D37)</f>
        <v>0</v>
      </c>
      <c r="D37" s="133"/>
      <c r="E37" s="47" t="s">
        <v>357</v>
      </c>
      <c r="F37" s="47" t="s">
        <v>28</v>
      </c>
      <c r="G37" s="47">
        <f>VLOOKUP(A37,'гири лич  '!$A$5:$M57,13,FALSE)</f>
        <v>216</v>
      </c>
      <c r="H37" s="47"/>
      <c r="I37" s="47"/>
      <c r="J37" s="14"/>
      <c r="K37" s="66"/>
    </row>
    <row r="38" spans="1:11" ht="19.5" thickBot="1">
      <c r="A38" s="144" t="str">
        <f>B38&amp;COUNTIF($B$4:B38,B38)</f>
        <v>0</v>
      </c>
      <c r="B38" s="99"/>
      <c r="C38" s="99" t="str">
        <f>D38&amp;COUNTIF($D$4:D38,D38)</f>
        <v>0</v>
      </c>
      <c r="D38" s="164"/>
      <c r="E38" s="99"/>
      <c r="F38" s="99"/>
      <c r="G38" s="99"/>
      <c r="H38" s="102">
        <f>I38*10</f>
        <v>63010</v>
      </c>
      <c r="I38" s="99" t="str">
        <f>J38&amp;COUNTIF($J$8:J38,J38)</f>
        <v>6301</v>
      </c>
      <c r="J38" s="100">
        <f>SUM(G34:G37)</f>
        <v>630</v>
      </c>
      <c r="K38" s="145" t="s">
        <v>28</v>
      </c>
    </row>
    <row r="39" spans="1:11" ht="17.25" thickBot="1" thickTop="1">
      <c r="A39" s="137" t="str">
        <f>B39&amp;COUNTIF($B$4:B39,B39)</f>
        <v>0</v>
      </c>
      <c r="B39" s="138"/>
      <c r="C39" s="139" t="str">
        <f>D39&amp;COUNTIF($D$4:D39,D39)</f>
        <v>68ж5</v>
      </c>
      <c r="D39" s="140" t="s">
        <v>312</v>
      </c>
      <c r="E39" s="140" t="s">
        <v>318</v>
      </c>
      <c r="F39" s="140" t="s">
        <v>22</v>
      </c>
      <c r="G39" s="140">
        <f>VLOOKUP(C39,'гири лич  '!$A$45:$L$77,6,FALSE)</f>
        <v>108</v>
      </c>
      <c r="H39" s="139"/>
      <c r="I39" s="139"/>
      <c r="J39" s="141"/>
      <c r="K39" s="142"/>
    </row>
    <row r="40" spans="1:11" ht="16.5" thickTop="1">
      <c r="A40" s="143" t="str">
        <f>B40&amp;COUNTIF($B$4:B40,B40)</f>
        <v>0</v>
      </c>
      <c r="B40" s="49"/>
      <c r="C40" s="47" t="str">
        <f>D40&amp;COUNTIF($D$4:D40,D40)</f>
        <v>0</v>
      </c>
      <c r="D40" s="133"/>
      <c r="E40" s="133"/>
      <c r="F40" s="133"/>
      <c r="G40" s="140">
        <v>0</v>
      </c>
      <c r="H40" s="47"/>
      <c r="I40" s="47"/>
      <c r="J40" s="14"/>
      <c r="K40" s="66"/>
    </row>
    <row r="41" spans="1:11" ht="15.75">
      <c r="A41" s="143" t="str">
        <f>B41&amp;COUNTIF($B$4:B41,B41)</f>
        <v>73м2</v>
      </c>
      <c r="B41" s="49" t="s">
        <v>340</v>
      </c>
      <c r="C41" s="47" t="str">
        <f>D41&amp;COUNTIF($D$4:D41,D41)</f>
        <v>0</v>
      </c>
      <c r="D41" s="133"/>
      <c r="E41" s="47" t="s">
        <v>390</v>
      </c>
      <c r="F41" s="47" t="s">
        <v>22</v>
      </c>
      <c r="G41" s="47">
        <f>VLOOKUP(A41,'гири лич  '!$A$5:$M59,13,FALSE)</f>
        <v>216</v>
      </c>
      <c r="H41" s="47"/>
      <c r="I41" s="47"/>
      <c r="J41" s="14"/>
      <c r="K41" s="66"/>
    </row>
    <row r="42" spans="1:11" ht="15.75">
      <c r="A42" s="143" t="str">
        <f>B42&amp;COUNTIF($B$4:B42,B42)</f>
        <v>85м3</v>
      </c>
      <c r="B42" s="49" t="s">
        <v>352</v>
      </c>
      <c r="C42" s="47" t="str">
        <f>D42&amp;COUNTIF($D$4:D42,D42)</f>
        <v>0</v>
      </c>
      <c r="D42" s="133"/>
      <c r="E42" s="47" t="s">
        <v>353</v>
      </c>
      <c r="F42" s="47" t="s">
        <v>22</v>
      </c>
      <c r="G42" s="47">
        <f>VLOOKUP(A42,'гири лич  '!$A$5:$M59,13,FALSE)</f>
        <v>240</v>
      </c>
      <c r="H42" s="47"/>
      <c r="I42" s="47"/>
      <c r="J42" s="14"/>
      <c r="K42" s="66"/>
    </row>
    <row r="43" spans="1:11" ht="19.5" thickBot="1">
      <c r="A43" s="144" t="str">
        <f>B43&amp;COUNTIF($B$4:B43,B43)</f>
        <v>0</v>
      </c>
      <c r="B43" s="99"/>
      <c r="C43" s="99" t="str">
        <f>D43&amp;COUNTIF($D$4:D43,D43)</f>
        <v>0</v>
      </c>
      <c r="D43" s="164"/>
      <c r="E43" s="99"/>
      <c r="F43" s="99"/>
      <c r="G43" s="99"/>
      <c r="H43" s="102">
        <f>I43*10</f>
        <v>56410</v>
      </c>
      <c r="I43" s="99" t="str">
        <f>J43&amp;COUNTIF($J$8:J43,J43)</f>
        <v>5641</v>
      </c>
      <c r="J43" s="100">
        <f>SUM(G39:G42)</f>
        <v>564</v>
      </c>
      <c r="K43" s="145" t="s">
        <v>22</v>
      </c>
    </row>
    <row r="44" spans="1:11" ht="17.25" thickBot="1" thickTop="1">
      <c r="A44" s="137" t="str">
        <f>B44&amp;COUNTIF($B$4:B44,B44)</f>
        <v>0</v>
      </c>
      <c r="B44" s="138"/>
      <c r="C44" s="139" t="str">
        <f>D44&amp;COUNTIF($D$4:D44,D44)</f>
        <v>68ж6</v>
      </c>
      <c r="D44" s="140" t="s">
        <v>312</v>
      </c>
      <c r="E44" s="140" t="s">
        <v>319</v>
      </c>
      <c r="F44" s="140" t="s">
        <v>11</v>
      </c>
      <c r="G44" s="140">
        <f>VLOOKUP(C44,'гири лич  '!$A$45:$L$77,6,FALSE)</f>
        <v>120</v>
      </c>
      <c r="H44" s="139"/>
      <c r="I44" s="139"/>
      <c r="J44" s="141"/>
      <c r="K44" s="142"/>
    </row>
    <row r="45" spans="1:11" ht="16.5" thickTop="1">
      <c r="A45" s="143" t="str">
        <f>B45&amp;COUNTIF($B$4:B45,B45)</f>
        <v>0</v>
      </c>
      <c r="B45" s="49"/>
      <c r="C45" s="47" t="str">
        <f>D45&amp;COUNTIF($D$4:D45,D45)</f>
        <v>63ж3</v>
      </c>
      <c r="D45" s="133" t="s">
        <v>310</v>
      </c>
      <c r="E45" s="133" t="s">
        <v>147</v>
      </c>
      <c r="F45" s="133" t="s">
        <v>11</v>
      </c>
      <c r="G45" s="140">
        <f>VLOOKUP(C45,'гири лич  '!$A$45:$L$77,6,FALSE)</f>
        <v>108</v>
      </c>
      <c r="H45" s="47"/>
      <c r="I45" s="47"/>
      <c r="J45" s="14"/>
      <c r="K45" s="66"/>
    </row>
    <row r="46" spans="1:11" ht="15.75">
      <c r="A46" s="143" t="str">
        <f>B46&amp;COUNTIF($B$4:B46,B46)</f>
        <v>78м1</v>
      </c>
      <c r="B46" s="49" t="s">
        <v>343</v>
      </c>
      <c r="C46" s="47" t="str">
        <f>D46&amp;COUNTIF($D$4:D46,D46)</f>
        <v>0</v>
      </c>
      <c r="D46" s="133"/>
      <c r="E46" s="47" t="s">
        <v>149</v>
      </c>
      <c r="F46" s="47" t="s">
        <v>11</v>
      </c>
      <c r="G46" s="47">
        <f>VLOOKUP(A46,'гири лич  '!$A$5:$M60,13,FALSE)</f>
        <v>216</v>
      </c>
      <c r="H46" s="47"/>
      <c r="I46" s="47"/>
      <c r="J46" s="14"/>
      <c r="K46" s="66"/>
    </row>
    <row r="47" spans="1:11" ht="15.75">
      <c r="A47" s="143" t="str">
        <f>B47&amp;COUNTIF($B$4:B47,B47)</f>
        <v>85м4</v>
      </c>
      <c r="B47" s="49" t="s">
        <v>352</v>
      </c>
      <c r="C47" s="47" t="str">
        <f>D47&amp;COUNTIF($D$4:D47,D47)</f>
        <v>0</v>
      </c>
      <c r="D47" s="133"/>
      <c r="E47" s="47" t="s">
        <v>358</v>
      </c>
      <c r="F47" s="47" t="s">
        <v>11</v>
      </c>
      <c r="G47" s="47">
        <f>VLOOKUP(A47,'гири лич  '!$A$5:$M60,13,FALSE)</f>
        <v>196</v>
      </c>
      <c r="H47" s="47"/>
      <c r="I47" s="47"/>
      <c r="J47" s="14"/>
      <c r="K47" s="66"/>
    </row>
    <row r="48" spans="1:11" ht="19.5" thickBot="1">
      <c r="A48" s="144" t="str">
        <f>B48&amp;COUNTIF($B$4:B48,B48)</f>
        <v>0</v>
      </c>
      <c r="B48" s="99"/>
      <c r="C48" s="99" t="str">
        <f>D48&amp;COUNTIF($D$4:D48,D48)</f>
        <v>0</v>
      </c>
      <c r="D48" s="164"/>
      <c r="E48" s="99"/>
      <c r="F48" s="99"/>
      <c r="G48" s="99"/>
      <c r="H48" s="102">
        <f>I48*10</f>
        <v>64020</v>
      </c>
      <c r="I48" s="99" t="str">
        <f>J48&amp;COUNTIF($J$8:J48,J48)</f>
        <v>6402</v>
      </c>
      <c r="J48" s="100">
        <f>SUM(G44:G47)</f>
        <v>640</v>
      </c>
      <c r="K48" s="145" t="s">
        <v>11</v>
      </c>
    </row>
    <row r="49" spans="1:11" ht="17.25" thickBot="1" thickTop="1">
      <c r="A49" s="137" t="str">
        <f>B49&amp;COUNTIF($B$4:B49,B49)</f>
        <v>0</v>
      </c>
      <c r="B49" s="138"/>
      <c r="C49" s="139" t="str">
        <f>D49&amp;COUNTIF($D$4:D49,D49)</f>
        <v>68ж7</v>
      </c>
      <c r="D49" s="140" t="s">
        <v>312</v>
      </c>
      <c r="E49" s="140" t="s">
        <v>320</v>
      </c>
      <c r="F49" s="140" t="s">
        <v>3</v>
      </c>
      <c r="G49" s="140">
        <f>VLOOKUP(C49,'гири лич  '!$A$45:$L$77,6,FALSE)</f>
        <v>90</v>
      </c>
      <c r="H49" s="139"/>
      <c r="I49" s="139"/>
      <c r="J49" s="141"/>
      <c r="K49" s="142"/>
    </row>
    <row r="50" spans="1:11" ht="16.5" thickTop="1">
      <c r="A50" s="143" t="str">
        <f>B50&amp;COUNTIF($B$4:B50,B50)</f>
        <v>0</v>
      </c>
      <c r="B50" s="49"/>
      <c r="C50" s="47" t="str">
        <f>D50&amp;COUNTIF($D$4:D50,D50)</f>
        <v>св68ж4</v>
      </c>
      <c r="D50" s="133" t="s">
        <v>308</v>
      </c>
      <c r="E50" s="133" t="s">
        <v>321</v>
      </c>
      <c r="F50" s="133" t="s">
        <v>3</v>
      </c>
      <c r="G50" s="140">
        <f>VLOOKUP(C50,'гири лич  '!$A$45:$L$77,6,FALSE)</f>
        <v>74</v>
      </c>
      <c r="H50" s="47"/>
      <c r="I50" s="47"/>
      <c r="J50" s="14"/>
      <c r="K50" s="66"/>
    </row>
    <row r="51" spans="1:11" ht="15.75">
      <c r="A51" s="143" t="str">
        <f>B51&amp;COUNTIF($B$4:B51,B51)</f>
        <v>св95м6</v>
      </c>
      <c r="B51" s="49" t="s">
        <v>348</v>
      </c>
      <c r="C51" s="47" t="str">
        <f>D51&amp;COUNTIF($D$4:D51,D51)</f>
        <v>0</v>
      </c>
      <c r="D51" s="133"/>
      <c r="E51" s="47" t="s">
        <v>394</v>
      </c>
      <c r="F51" s="47" t="s">
        <v>3</v>
      </c>
      <c r="G51" s="47">
        <f>VLOOKUP(A51,'гири лич  '!$A$5:$M62,13,FALSE)</f>
        <v>164</v>
      </c>
      <c r="H51" s="47"/>
      <c r="I51" s="47"/>
      <c r="J51" s="14"/>
      <c r="K51" s="66"/>
    </row>
    <row r="52" spans="1:11" ht="15.75">
      <c r="A52" s="143" t="str">
        <f>B52&amp;COUNTIF($B$4:B52,B52)</f>
        <v>85м 1</v>
      </c>
      <c r="B52" s="49" t="s">
        <v>363</v>
      </c>
      <c r="C52" s="47" t="str">
        <f>D52&amp;COUNTIF($D$4:D52,D52)</f>
        <v>0</v>
      </c>
      <c r="D52" s="133"/>
      <c r="E52" s="47" t="s">
        <v>362</v>
      </c>
      <c r="F52" s="47" t="s">
        <v>3</v>
      </c>
      <c r="G52" s="47">
        <f>VLOOKUP(A52,'гири лич  '!$A$5:$M62,13,FALSE)</f>
        <v>180</v>
      </c>
      <c r="H52" s="47"/>
      <c r="I52" s="47"/>
      <c r="J52" s="14"/>
      <c r="K52" s="66"/>
    </row>
    <row r="53" spans="1:11" ht="19.5" thickBot="1">
      <c r="A53" s="144" t="str">
        <f>B53&amp;COUNTIF($B$4:B53,B53)</f>
        <v>0</v>
      </c>
      <c r="B53" s="99"/>
      <c r="C53" s="99" t="str">
        <f>D53&amp;COUNTIF($D$4:D53,D53)</f>
        <v>0</v>
      </c>
      <c r="D53" s="164"/>
      <c r="E53" s="99"/>
      <c r="F53" s="99"/>
      <c r="G53" s="99"/>
      <c r="H53" s="102">
        <f>I53*10</f>
        <v>50810</v>
      </c>
      <c r="I53" s="99" t="str">
        <f>J53&amp;COUNTIF($J$8:J53,J53)</f>
        <v>5081</v>
      </c>
      <c r="J53" s="100">
        <f>SUM(G49:G52)</f>
        <v>508</v>
      </c>
      <c r="K53" s="145" t="s">
        <v>3</v>
      </c>
    </row>
    <row r="54" spans="1:11" ht="17.25" thickBot="1" thickTop="1">
      <c r="A54" s="137" t="str">
        <f>B54&amp;COUNTIF($B$4:B54,B54)</f>
        <v>0</v>
      </c>
      <c r="B54" s="138"/>
      <c r="C54" s="139" t="str">
        <f>D54&amp;COUNTIF($D$4:D54,D54)</f>
        <v>68ж8</v>
      </c>
      <c r="D54" s="140" t="s">
        <v>312</v>
      </c>
      <c r="E54" s="140" t="s">
        <v>322</v>
      </c>
      <c r="F54" s="140" t="s">
        <v>9</v>
      </c>
      <c r="G54" s="140">
        <f>VLOOKUP(C54,'гири лич  '!$A$45:$L$77,6,FALSE)</f>
        <v>79</v>
      </c>
      <c r="H54" s="139"/>
      <c r="I54" s="139"/>
      <c r="J54" s="141"/>
      <c r="K54" s="142"/>
    </row>
    <row r="55" spans="1:11" ht="16.5" thickTop="1">
      <c r="A55" s="143" t="str">
        <f>B55&amp;COUNTIF($B$4:B55,B55)</f>
        <v>0</v>
      </c>
      <c r="B55" s="49"/>
      <c r="C55" s="47" t="str">
        <f>D55&amp;COUNTIF($D$4:D55,D55)</f>
        <v>св68ж5</v>
      </c>
      <c r="D55" s="133" t="s">
        <v>308</v>
      </c>
      <c r="E55" s="133" t="s">
        <v>323</v>
      </c>
      <c r="F55" s="133" t="s">
        <v>9</v>
      </c>
      <c r="G55" s="140">
        <f>VLOOKUP(C55,'гири лич  '!$A$45:$L$77,6,FALSE)</f>
        <v>72</v>
      </c>
      <c r="H55" s="47"/>
      <c r="I55" s="47"/>
      <c r="J55" s="14"/>
      <c r="K55" s="66"/>
    </row>
    <row r="56" spans="1:11" ht="15.75">
      <c r="A56" s="143" t="str">
        <f>B56&amp;COUNTIF($B$4:B56,B56)</f>
        <v>73м3</v>
      </c>
      <c r="B56" s="49" t="s">
        <v>340</v>
      </c>
      <c r="C56" s="47" t="str">
        <f>D56&amp;COUNTIF($D$4:D56,D56)</f>
        <v>0</v>
      </c>
      <c r="D56" s="133"/>
      <c r="E56" s="47" t="s">
        <v>389</v>
      </c>
      <c r="F56" s="47" t="s">
        <v>9</v>
      </c>
      <c r="G56" s="47">
        <f>VLOOKUP(A56,'гири лич  '!$A$5:$M66,13,FALSE)</f>
        <v>188</v>
      </c>
      <c r="H56" s="47"/>
      <c r="I56" s="47"/>
      <c r="J56" s="14"/>
      <c r="K56" s="66"/>
    </row>
    <row r="57" spans="1:11" ht="15.75">
      <c r="A57" s="143" t="str">
        <f>B57&amp;COUNTIF($B$4:B57,B57)</f>
        <v>95м4</v>
      </c>
      <c r="B57" s="49" t="s">
        <v>356</v>
      </c>
      <c r="C57" s="47" t="str">
        <f>D57&amp;COUNTIF($D$4:D57,D57)</f>
        <v>0</v>
      </c>
      <c r="D57" s="133"/>
      <c r="E57" s="47" t="s">
        <v>355</v>
      </c>
      <c r="F57" s="47" t="s">
        <v>9</v>
      </c>
      <c r="G57" s="47">
        <f>VLOOKUP(A57,'гири лич  '!$A$5:$M66,13,FALSE)</f>
        <v>240</v>
      </c>
      <c r="H57" s="47"/>
      <c r="I57" s="47"/>
      <c r="J57" s="14"/>
      <c r="K57" s="66"/>
    </row>
    <row r="58" spans="1:11" ht="19.5" thickBot="1">
      <c r="A58" s="144" t="str">
        <f>B58&amp;COUNTIF($B$4:B58,B58)</f>
        <v>0</v>
      </c>
      <c r="B58" s="99"/>
      <c r="C58" s="99" t="str">
        <f>D58&amp;COUNTIF($D$4:D58,D58)</f>
        <v>0</v>
      </c>
      <c r="D58" s="164"/>
      <c r="E58" s="99"/>
      <c r="F58" s="99"/>
      <c r="G58" s="99"/>
      <c r="H58" s="102">
        <f>I58*10</f>
        <v>57910</v>
      </c>
      <c r="I58" s="99" t="str">
        <f>J58&amp;COUNTIF($J$8:J58,J58)</f>
        <v>5791</v>
      </c>
      <c r="J58" s="100">
        <f>SUM(G54:G57)</f>
        <v>579</v>
      </c>
      <c r="K58" s="145" t="s">
        <v>9</v>
      </c>
    </row>
    <row r="59" spans="1:11" ht="17.25" thickBot="1" thickTop="1">
      <c r="A59" s="137" t="str">
        <f>B59&amp;COUNTIF($B$4:B59,B59)</f>
        <v>0</v>
      </c>
      <c r="B59" s="138"/>
      <c r="C59" s="139" t="str">
        <f>D59&amp;COUNTIF($D$4:D59,D59)</f>
        <v>63ж4</v>
      </c>
      <c r="D59" s="140" t="s">
        <v>310</v>
      </c>
      <c r="E59" s="140" t="s">
        <v>337</v>
      </c>
      <c r="F59" s="140" t="s">
        <v>10</v>
      </c>
      <c r="G59" s="140">
        <v>0</v>
      </c>
      <c r="H59" s="139"/>
      <c r="I59" s="139"/>
      <c r="J59" s="141"/>
      <c r="K59" s="142"/>
    </row>
    <row r="60" spans="1:11" ht="16.5" thickTop="1">
      <c r="A60" s="143" t="str">
        <f>B60&amp;COUNTIF($B$4:B60,B60)</f>
        <v>0</v>
      </c>
      <c r="B60" s="49"/>
      <c r="C60" s="47" t="str">
        <f>D60&amp;COUNTIF($D$4:D60,D60)</f>
        <v>св68ж6</v>
      </c>
      <c r="D60" s="133" t="s">
        <v>308</v>
      </c>
      <c r="E60" s="133" t="s">
        <v>324</v>
      </c>
      <c r="F60" s="133" t="s">
        <v>10</v>
      </c>
      <c r="G60" s="140">
        <f>VLOOKUP(C60,'гири лич  '!$A$45:$L$77,6,FALSE)</f>
        <v>82</v>
      </c>
      <c r="H60" s="47"/>
      <c r="I60" s="47"/>
      <c r="J60" s="14"/>
      <c r="K60" s="66"/>
    </row>
    <row r="61" spans="1:11" ht="15.75">
      <c r="A61" s="143" t="str">
        <f>B61&amp;COUNTIF($B$4:B61,B61)</f>
        <v>0</v>
      </c>
      <c r="B61" s="49"/>
      <c r="C61" s="47" t="str">
        <f>D61&amp;COUNTIF($D$4:D61,D61)</f>
        <v>0</v>
      </c>
      <c r="D61" s="133"/>
      <c r="E61" s="47"/>
      <c r="F61" s="47"/>
      <c r="G61" s="47">
        <v>0</v>
      </c>
      <c r="H61" s="47"/>
      <c r="I61" s="47"/>
      <c r="J61" s="14"/>
      <c r="K61" s="66"/>
    </row>
    <row r="62" spans="1:11" ht="15.75">
      <c r="A62" s="143" t="str">
        <f>B62&amp;COUNTIF($B$4:B62,B62)</f>
        <v>0</v>
      </c>
      <c r="B62" s="49"/>
      <c r="C62" s="47" t="str">
        <f>D62&amp;COUNTIF($D$4:D62,D62)</f>
        <v>0</v>
      </c>
      <c r="D62" s="133"/>
      <c r="E62" s="47"/>
      <c r="F62" s="47"/>
      <c r="G62" s="47">
        <v>0</v>
      </c>
      <c r="H62" s="47"/>
      <c r="I62" s="47"/>
      <c r="J62" s="14"/>
      <c r="K62" s="66"/>
    </row>
    <row r="63" spans="1:11" ht="19.5" thickBot="1">
      <c r="A63" s="144" t="str">
        <f>B63&amp;COUNTIF($B$4:B63,B63)</f>
        <v>0</v>
      </c>
      <c r="B63" s="99"/>
      <c r="C63" s="99" t="str">
        <f>D63&amp;COUNTIF($D$4:D63,D63)</f>
        <v>0</v>
      </c>
      <c r="D63" s="164"/>
      <c r="E63" s="99"/>
      <c r="F63" s="99"/>
      <c r="G63" s="99"/>
      <c r="H63" s="102">
        <f>I63*10</f>
        <v>8210</v>
      </c>
      <c r="I63" s="99" t="str">
        <f>J63&amp;COUNTIF($J$8:J63,J63)</f>
        <v>821</v>
      </c>
      <c r="J63" s="100">
        <f>SUM(G59:G62)</f>
        <v>82</v>
      </c>
      <c r="K63" s="145" t="s">
        <v>10</v>
      </c>
    </row>
    <row r="64" spans="1:11" ht="17.25" thickBot="1" thickTop="1">
      <c r="A64" s="137" t="str">
        <f>B64&amp;COUNTIF($B$4:B64,B64)</f>
        <v>0</v>
      </c>
      <c r="B64" s="138"/>
      <c r="C64" s="139" t="str">
        <f>D64&amp;COUNTIF($D$4:D64,D64)</f>
        <v>св68ж7</v>
      </c>
      <c r="D64" s="140" t="s">
        <v>308</v>
      </c>
      <c r="E64" s="140" t="s">
        <v>325</v>
      </c>
      <c r="F64" s="140" t="s">
        <v>29</v>
      </c>
      <c r="G64" s="140">
        <v>0</v>
      </c>
      <c r="H64" s="139"/>
      <c r="I64" s="139"/>
      <c r="J64" s="141"/>
      <c r="K64" s="142"/>
    </row>
    <row r="65" spans="1:11" ht="16.5" thickTop="1">
      <c r="A65" s="143" t="str">
        <f>B65&amp;COUNTIF($B$4:B65,B65)</f>
        <v>0</v>
      </c>
      <c r="B65" s="49"/>
      <c r="C65" s="47" t="str">
        <f>D65&amp;COUNTIF($D$4:D65,D65)</f>
        <v>св68ж8</v>
      </c>
      <c r="D65" s="133" t="s">
        <v>308</v>
      </c>
      <c r="E65" s="133" t="s">
        <v>326</v>
      </c>
      <c r="F65" s="133" t="s">
        <v>29</v>
      </c>
      <c r="G65" s="140">
        <f>VLOOKUP(C65,'гири лич  '!$A$45:$L$77,6,FALSE)</f>
        <v>90</v>
      </c>
      <c r="H65" s="47"/>
      <c r="I65" s="47"/>
      <c r="J65" s="14"/>
      <c r="K65" s="66"/>
    </row>
    <row r="66" spans="1:11" ht="15.75">
      <c r="A66" s="143" t="str">
        <f>B66&amp;COUNTIF($B$4:B66,B66)</f>
        <v>73м4</v>
      </c>
      <c r="B66" s="49" t="s">
        <v>340</v>
      </c>
      <c r="C66" s="47" t="str">
        <f>D66&amp;COUNTIF($D$4:D66,D66)</f>
        <v>0</v>
      </c>
      <c r="D66" s="133"/>
      <c r="E66" s="47" t="s">
        <v>354</v>
      </c>
      <c r="F66" s="47" t="s">
        <v>29</v>
      </c>
      <c r="G66" s="47">
        <f>VLOOKUP(A66,'гири лич  '!$A$5:$M70,13,FALSE)</f>
        <v>188</v>
      </c>
      <c r="H66" s="47"/>
      <c r="I66" s="47"/>
      <c r="J66" s="14"/>
      <c r="K66" s="66"/>
    </row>
    <row r="67" spans="1:11" ht="15.75">
      <c r="A67" s="143" t="str">
        <f>B67&amp;COUNTIF($B$4:B67,B67)</f>
        <v>85м5</v>
      </c>
      <c r="B67" s="49" t="s">
        <v>352</v>
      </c>
      <c r="C67" s="47" t="str">
        <f>D67&amp;COUNTIF($D$4:D67,D67)</f>
        <v>0</v>
      </c>
      <c r="D67" s="133"/>
      <c r="E67" s="47" t="s">
        <v>137</v>
      </c>
      <c r="F67" s="47" t="s">
        <v>29</v>
      </c>
      <c r="G67" s="47">
        <v>0</v>
      </c>
      <c r="H67" s="47"/>
      <c r="I67" s="47"/>
      <c r="J67" s="14"/>
      <c r="K67" s="66"/>
    </row>
    <row r="68" spans="1:11" ht="19.5" thickBot="1">
      <c r="A68" s="144" t="str">
        <f>B68&amp;COUNTIF($B$4:B68,B68)</f>
        <v>0</v>
      </c>
      <c r="B68" s="99"/>
      <c r="C68" s="99" t="str">
        <f>D68&amp;COUNTIF($D$4:D68,D68)</f>
        <v>0</v>
      </c>
      <c r="D68" s="164"/>
      <c r="E68" s="99"/>
      <c r="F68" s="99"/>
      <c r="G68" s="99"/>
      <c r="H68" s="102">
        <f>I68*10</f>
        <v>27810</v>
      </c>
      <c r="I68" s="99" t="str">
        <f>J68&amp;COUNTIF($J$8:J68,J68)</f>
        <v>2781</v>
      </c>
      <c r="J68" s="100">
        <f>SUM(G64:G67)</f>
        <v>278</v>
      </c>
      <c r="K68" s="145" t="s">
        <v>29</v>
      </c>
    </row>
    <row r="69" spans="1:11" ht="17.25" thickBot="1" thickTop="1">
      <c r="A69" s="137" t="str">
        <f>B69&amp;COUNTIF($B$4:B69,B69)</f>
        <v>0</v>
      </c>
      <c r="B69" s="138"/>
      <c r="C69" s="139" t="str">
        <f>D69&amp;COUNTIF($D$4:D69,D69)</f>
        <v>св68ж9</v>
      </c>
      <c r="D69" s="140" t="s">
        <v>308</v>
      </c>
      <c r="E69" s="140" t="s">
        <v>327</v>
      </c>
      <c r="F69" s="140" t="s">
        <v>5</v>
      </c>
      <c r="G69" s="140">
        <f>VLOOKUP(C69,'гири лич  '!$A$45:$L$77,6,FALSE)</f>
        <v>98</v>
      </c>
      <c r="H69" s="139"/>
      <c r="I69" s="139"/>
      <c r="J69" s="141"/>
      <c r="K69" s="142"/>
    </row>
    <row r="70" spans="1:11" ht="16.5" thickTop="1">
      <c r="A70" s="143" t="str">
        <f>B70&amp;COUNTIF($B$4:B70,B70)</f>
        <v>0</v>
      </c>
      <c r="B70" s="49"/>
      <c r="C70" s="47" t="str">
        <f>D70&amp;COUNTIF($D$4:D70,D70)</f>
        <v>0</v>
      </c>
      <c r="D70" s="133"/>
      <c r="E70" s="133"/>
      <c r="F70" s="133" t="s">
        <v>5</v>
      </c>
      <c r="G70" s="140">
        <v>0</v>
      </c>
      <c r="H70" s="47"/>
      <c r="I70" s="47"/>
      <c r="J70" s="14"/>
      <c r="K70" s="66"/>
    </row>
    <row r="71" spans="1:11" ht="15.75">
      <c r="A71" s="143" t="str">
        <f>B71&amp;COUNTIF($B$4:B71,B71)</f>
        <v>св95м7</v>
      </c>
      <c r="B71" s="49" t="s">
        <v>348</v>
      </c>
      <c r="C71" s="47" t="str">
        <f>D71&amp;COUNTIF($D$4:D71,D71)</f>
        <v>0</v>
      </c>
      <c r="D71" s="133"/>
      <c r="E71" s="47" t="s">
        <v>366</v>
      </c>
      <c r="F71" s="47" t="s">
        <v>5</v>
      </c>
      <c r="G71" s="47">
        <f>VLOOKUP(A71,'гири лич  '!$A$5:$M72,13,FALSE)</f>
        <v>167</v>
      </c>
      <c r="H71" s="47"/>
      <c r="I71" s="47"/>
      <c r="J71" s="14"/>
      <c r="K71" s="66"/>
    </row>
    <row r="72" spans="1:11" ht="15.75">
      <c r="A72" s="143" t="str">
        <f>B72&amp;COUNTIF($B$4:B72,B72)</f>
        <v>св95м8</v>
      </c>
      <c r="B72" s="49" t="s">
        <v>348</v>
      </c>
      <c r="C72" s="47" t="str">
        <f>D72&amp;COUNTIF($D$4:D72,D72)</f>
        <v>0</v>
      </c>
      <c r="D72" s="133"/>
      <c r="E72" s="47" t="s">
        <v>367</v>
      </c>
      <c r="F72" s="47" t="s">
        <v>5</v>
      </c>
      <c r="G72" s="47">
        <f>VLOOKUP(A72,'гири лич  '!$A$5:$M72,13,FALSE)</f>
        <v>156</v>
      </c>
      <c r="H72" s="47"/>
      <c r="I72" s="47"/>
      <c r="J72" s="14"/>
      <c r="K72" s="66"/>
    </row>
    <row r="73" spans="1:11" ht="19.5" thickBot="1">
      <c r="A73" s="144" t="str">
        <f>B73&amp;COUNTIF($B$4:B73,B73)</f>
        <v>0</v>
      </c>
      <c r="B73" s="99"/>
      <c r="C73" s="99" t="str">
        <f>D73&amp;COUNTIF($D$4:D73,D73)</f>
        <v>0</v>
      </c>
      <c r="D73" s="164"/>
      <c r="E73" s="99"/>
      <c r="F73" s="99"/>
      <c r="G73" s="99"/>
      <c r="H73" s="102">
        <f>I73*10</f>
        <v>42110</v>
      </c>
      <c r="I73" s="99" t="str">
        <f>J73&amp;COUNTIF($J$8:J73,J73)</f>
        <v>4211</v>
      </c>
      <c r="J73" s="100">
        <f>SUM(G69:G72)</f>
        <v>421</v>
      </c>
      <c r="K73" s="145" t="s">
        <v>5</v>
      </c>
    </row>
    <row r="74" spans="1:11" ht="17.25" thickBot="1" thickTop="1">
      <c r="A74" s="137" t="str">
        <f>B74&amp;COUNTIF($B$4:B74,B74)</f>
        <v>0</v>
      </c>
      <c r="B74" s="138"/>
      <c r="C74" s="139" t="str">
        <f>D74&amp;COUNTIF($D$4:D74,D74)</f>
        <v>св68ж10</v>
      </c>
      <c r="D74" s="140" t="s">
        <v>308</v>
      </c>
      <c r="E74" s="140" t="s">
        <v>328</v>
      </c>
      <c r="F74" s="140" t="s">
        <v>40</v>
      </c>
      <c r="G74" s="140">
        <f>VLOOKUP(C74,'гири лич  '!$A$45:$L$77,6,FALSE)</f>
        <v>69</v>
      </c>
      <c r="H74" s="139"/>
      <c r="I74" s="139"/>
      <c r="J74" s="141"/>
      <c r="K74" s="142"/>
    </row>
    <row r="75" spans="1:11" ht="16.5" thickTop="1">
      <c r="A75" s="143" t="str">
        <f>B75&amp;COUNTIF($B$4:B75,B75)</f>
        <v>0</v>
      </c>
      <c r="B75" s="49"/>
      <c r="C75" s="47" t="str">
        <f>D75&amp;COUNTIF($D$4:D75,D75)</f>
        <v>св68ж11</v>
      </c>
      <c r="D75" s="133" t="s">
        <v>308</v>
      </c>
      <c r="E75" s="133" t="s">
        <v>329</v>
      </c>
      <c r="F75" s="133" t="s">
        <v>40</v>
      </c>
      <c r="G75" s="140">
        <f>VLOOKUP(C75,'гири лич  '!$A$45:$L$77,6,FALSE)</f>
        <v>76</v>
      </c>
      <c r="H75" s="47"/>
      <c r="I75" s="47"/>
      <c r="J75" s="14"/>
      <c r="K75" s="66"/>
    </row>
    <row r="76" spans="1:11" ht="15.75">
      <c r="A76" s="143" t="str">
        <f>B76&amp;COUNTIF($B$4:B76,B76)</f>
        <v>68м2</v>
      </c>
      <c r="B76" s="49" t="s">
        <v>346</v>
      </c>
      <c r="C76" s="47" t="str">
        <f>D76&amp;COUNTIF($D$4:D76,D76)</f>
        <v>0</v>
      </c>
      <c r="D76" s="133"/>
      <c r="E76" s="47" t="s">
        <v>347</v>
      </c>
      <c r="F76" s="47" t="s">
        <v>40</v>
      </c>
      <c r="G76" s="47">
        <f>VLOOKUP(A76,'гири лич  '!$A$5:$M73,13,FALSE)</f>
        <v>240</v>
      </c>
      <c r="H76" s="47"/>
      <c r="I76" s="47"/>
      <c r="J76" s="14"/>
      <c r="K76" s="66"/>
    </row>
    <row r="77" spans="1:11" ht="15.75">
      <c r="A77" s="143" t="str">
        <f>B77&amp;COUNTIF($B$4:B77,B77)</f>
        <v>св95м9</v>
      </c>
      <c r="B77" s="49" t="s">
        <v>348</v>
      </c>
      <c r="C77" s="47" t="str">
        <f>D77&amp;COUNTIF($D$4:D77,D77)</f>
        <v>0</v>
      </c>
      <c r="D77" s="133"/>
      <c r="E77" s="47" t="s">
        <v>349</v>
      </c>
      <c r="F77" s="47" t="s">
        <v>40</v>
      </c>
      <c r="G77" s="47">
        <f>VLOOKUP(A77,'гири лич  '!$A$5:$M73,13,FALSE)</f>
        <v>240</v>
      </c>
      <c r="H77" s="47"/>
      <c r="I77" s="47"/>
      <c r="J77" s="14"/>
      <c r="K77" s="66"/>
    </row>
    <row r="78" spans="1:11" ht="19.5" thickBot="1">
      <c r="A78" s="144" t="str">
        <f>B78&amp;COUNTIF($B$4:B78,B78)</f>
        <v>0</v>
      </c>
      <c r="B78" s="99"/>
      <c r="C78" s="99" t="str">
        <f>D78&amp;COUNTIF($D$4:D78,D78)</f>
        <v>0</v>
      </c>
      <c r="D78" s="164"/>
      <c r="E78" s="99"/>
      <c r="F78" s="99"/>
      <c r="G78" s="99"/>
      <c r="H78" s="102">
        <f>I78*10</f>
        <v>62510</v>
      </c>
      <c r="I78" s="99" t="str">
        <f>J78&amp;COUNTIF($J$8:J78,J78)</f>
        <v>6251</v>
      </c>
      <c r="J78" s="100">
        <f>SUM(G74:G77)</f>
        <v>625</v>
      </c>
      <c r="K78" s="145" t="s">
        <v>40</v>
      </c>
    </row>
    <row r="79" spans="1:11" ht="17.25" thickBot="1" thickTop="1">
      <c r="A79" s="137" t="str">
        <f>B79&amp;COUNTIF($B$4:B79,B79)</f>
        <v>0</v>
      </c>
      <c r="B79" s="138"/>
      <c r="C79" s="139" t="str">
        <f>D79&amp;COUNTIF($D$4:D79,D79)</f>
        <v>св68ж12</v>
      </c>
      <c r="D79" s="140" t="s">
        <v>308</v>
      </c>
      <c r="E79" s="140" t="s">
        <v>333</v>
      </c>
      <c r="F79" s="140" t="s">
        <v>30</v>
      </c>
      <c r="G79" s="140">
        <f>VLOOKUP(C79,'гири лич  '!$A$45:$L$77,6,FALSE)</f>
        <v>108</v>
      </c>
      <c r="H79" s="139"/>
      <c r="I79" s="139"/>
      <c r="J79" s="141"/>
      <c r="K79" s="142"/>
    </row>
    <row r="80" spans="1:11" ht="16.5" thickTop="1">
      <c r="A80" s="143" t="str">
        <f>B80&amp;COUNTIF($B$4:B80,B80)</f>
        <v>0</v>
      </c>
      <c r="B80" s="49"/>
      <c r="C80" s="47" t="str">
        <f>D80&amp;COUNTIF($D$4:D80,D80)</f>
        <v>63ж5</v>
      </c>
      <c r="D80" s="133" t="s">
        <v>310</v>
      </c>
      <c r="E80" s="133" t="s">
        <v>334</v>
      </c>
      <c r="F80" s="133" t="s">
        <v>30</v>
      </c>
      <c r="G80" s="140">
        <f>VLOOKUP(C80,'гири лич  '!$A$45:$L$77,6,FALSE)</f>
        <v>120</v>
      </c>
      <c r="H80" s="47"/>
      <c r="I80" s="47"/>
      <c r="J80" s="14"/>
      <c r="K80" s="66"/>
    </row>
    <row r="81" spans="1:11" ht="15.75">
      <c r="A81" s="143" t="str">
        <f>B81&amp;COUNTIF($B$4:B81,B81)</f>
        <v>63м1</v>
      </c>
      <c r="B81" s="49" t="s">
        <v>339</v>
      </c>
      <c r="C81" s="47" t="str">
        <f>D81&amp;COUNTIF($D$4:D81,D81)</f>
        <v>0</v>
      </c>
      <c r="D81" s="133"/>
      <c r="E81" s="47" t="s">
        <v>342</v>
      </c>
      <c r="F81" s="47" t="s">
        <v>30</v>
      </c>
      <c r="G81" s="47">
        <f>VLOOKUP(A81,'гири лич  '!$A$5:$M74,13,FALSE)</f>
        <v>240</v>
      </c>
      <c r="H81" s="47"/>
      <c r="I81" s="47"/>
      <c r="J81" s="14"/>
      <c r="K81" s="66"/>
    </row>
    <row r="82" spans="1:11" ht="15.75">
      <c r="A82" s="143" t="str">
        <f>B82&amp;COUNTIF($B$4:B82,B82)</f>
        <v>78м2</v>
      </c>
      <c r="B82" s="49" t="s">
        <v>343</v>
      </c>
      <c r="C82" s="47" t="str">
        <f>D82&amp;COUNTIF($D$4:D82,D82)</f>
        <v>0</v>
      </c>
      <c r="D82" s="133"/>
      <c r="E82" s="47" t="s">
        <v>344</v>
      </c>
      <c r="F82" s="47" t="s">
        <v>30</v>
      </c>
      <c r="G82" s="47">
        <f>VLOOKUP(A82,'гири лич  '!$A$5:$M74,13,FALSE)</f>
        <v>240</v>
      </c>
      <c r="H82" s="47"/>
      <c r="I82" s="47"/>
      <c r="J82" s="14"/>
      <c r="K82" s="66"/>
    </row>
    <row r="83" spans="1:11" ht="19.5" thickBot="1">
      <c r="A83" s="144" t="str">
        <f>B83&amp;COUNTIF($B$4:B83,B83)</f>
        <v>0</v>
      </c>
      <c r="B83" s="99"/>
      <c r="C83" s="99" t="str">
        <f>D83&amp;COUNTIF($D$4:D83,D83)</f>
        <v>0</v>
      </c>
      <c r="D83" s="164"/>
      <c r="E83" s="99"/>
      <c r="F83" s="99"/>
      <c r="G83" s="99"/>
      <c r="H83" s="102">
        <f>I83*10</f>
        <v>70810</v>
      </c>
      <c r="I83" s="99" t="str">
        <f>J83&amp;COUNTIF($J$8:J83,J83)</f>
        <v>7081</v>
      </c>
      <c r="J83" s="100">
        <f>SUM(G79:G82)</f>
        <v>708</v>
      </c>
      <c r="K83" s="145" t="s">
        <v>30</v>
      </c>
    </row>
    <row r="84" spans="1:11" ht="17.25" thickBot="1" thickTop="1">
      <c r="A84" s="137" t="str">
        <f>B84&amp;COUNTIF($B$4:B84,B84)</f>
        <v>0</v>
      </c>
      <c r="B84" s="138"/>
      <c r="C84" s="139" t="str">
        <f>D84&amp;COUNTIF($D$4:D84,D84)</f>
        <v>св68ж13</v>
      </c>
      <c r="D84" s="140" t="s">
        <v>308</v>
      </c>
      <c r="E84" s="140" t="s">
        <v>335</v>
      </c>
      <c r="F84" s="140" t="s">
        <v>39</v>
      </c>
      <c r="G84" s="140">
        <f>VLOOKUP(C84,'гири лич  '!$A$45:$L$77,6,FALSE)</f>
        <v>72</v>
      </c>
      <c r="H84" s="139"/>
      <c r="I84" s="139"/>
      <c r="J84" s="141"/>
      <c r="K84" s="142"/>
    </row>
    <row r="85" spans="1:11" ht="16.5" thickTop="1">
      <c r="A85" s="143" t="str">
        <f>B85&amp;COUNTIF($B$4:B85,B85)</f>
        <v>0</v>
      </c>
      <c r="B85" s="49"/>
      <c r="C85" s="47" t="str">
        <f>D85&amp;COUNTIF($D$4:D85,D85)</f>
        <v>0</v>
      </c>
      <c r="D85" s="133"/>
      <c r="E85" s="133"/>
      <c r="F85" s="133"/>
      <c r="G85" s="140">
        <v>0</v>
      </c>
      <c r="H85" s="47"/>
      <c r="I85" s="47"/>
      <c r="J85" s="14"/>
      <c r="K85" s="66"/>
    </row>
    <row r="86" spans="1:11" ht="15.75">
      <c r="A86" s="143" t="str">
        <f>B86&amp;COUNTIF($B$4:B86,B86)</f>
        <v>95м5</v>
      </c>
      <c r="B86" s="49" t="s">
        <v>356</v>
      </c>
      <c r="C86" s="47" t="str">
        <f>D86&amp;COUNTIF($D$4:D86,D86)</f>
        <v>0</v>
      </c>
      <c r="D86" s="133"/>
      <c r="E86" s="47" t="s">
        <v>392</v>
      </c>
      <c r="F86" s="47" t="s">
        <v>39</v>
      </c>
      <c r="G86" s="47">
        <v>0</v>
      </c>
      <c r="H86" s="47"/>
      <c r="I86" s="47"/>
      <c r="J86" s="14"/>
      <c r="K86" s="66"/>
    </row>
    <row r="87" spans="1:11" ht="15.75">
      <c r="A87" s="143" t="str">
        <f>B87&amp;COUNTIF($B$4:B87,B87)</f>
        <v>0</v>
      </c>
      <c r="B87" s="49"/>
      <c r="C87" s="47" t="str">
        <f>D87&amp;COUNTIF($D$4:D87,D87)</f>
        <v>0</v>
      </c>
      <c r="D87" s="133"/>
      <c r="E87" s="47"/>
      <c r="F87" s="47"/>
      <c r="G87" s="47">
        <v>0</v>
      </c>
      <c r="H87" s="47"/>
      <c r="I87" s="47"/>
      <c r="J87" s="14"/>
      <c r="K87" s="66"/>
    </row>
    <row r="88" spans="1:11" ht="19.5" thickBot="1">
      <c r="A88" s="144" t="str">
        <f>B88&amp;COUNTIF($B$4:B88,B88)</f>
        <v>0</v>
      </c>
      <c r="B88" s="99"/>
      <c r="C88" s="99" t="str">
        <f>D88&amp;COUNTIF($D$4:D88,D88)</f>
        <v>0</v>
      </c>
      <c r="D88" s="164"/>
      <c r="E88" s="99"/>
      <c r="F88" s="99"/>
      <c r="G88" s="99"/>
      <c r="H88" s="102">
        <f>I88*10</f>
        <v>7210</v>
      </c>
      <c r="I88" s="99" t="str">
        <f>J88&amp;COUNTIF($J$8:J88,J88)</f>
        <v>721</v>
      </c>
      <c r="J88" s="100">
        <f>SUM(G84:G87)</f>
        <v>72</v>
      </c>
      <c r="K88" s="145" t="s">
        <v>39</v>
      </c>
    </row>
    <row r="89" spans="1:11" ht="17.25" thickBot="1" thickTop="1">
      <c r="A89" s="137" t="str">
        <f>B89&amp;COUNTIF($B$4:B89,B89)</f>
        <v>0</v>
      </c>
      <c r="B89" s="138"/>
      <c r="C89" s="139" t="str">
        <f>D89&amp;COUNTIF($D$4:D89,D89)</f>
        <v>св68ж14</v>
      </c>
      <c r="D89" s="140" t="s">
        <v>308</v>
      </c>
      <c r="E89" s="140" t="s">
        <v>336</v>
      </c>
      <c r="F89" s="140" t="s">
        <v>41</v>
      </c>
      <c r="G89" s="140">
        <f>VLOOKUP(C89,'гири лич  '!$A$45:$L$77,6,FALSE)</f>
        <v>120</v>
      </c>
      <c r="H89" s="139"/>
      <c r="I89" s="139"/>
      <c r="J89" s="141"/>
      <c r="K89" s="142"/>
    </row>
    <row r="90" spans="1:11" ht="16.5" thickTop="1">
      <c r="A90" s="143" t="str">
        <f>B90&amp;COUNTIF($B$4:B90,B90)</f>
        <v>0</v>
      </c>
      <c r="B90" s="49"/>
      <c r="C90" s="47" t="str">
        <f>D90&amp;COUNTIF($D$4:D90,D90)</f>
        <v>0</v>
      </c>
      <c r="D90" s="133"/>
      <c r="E90" s="133"/>
      <c r="F90" s="133"/>
      <c r="G90" s="140">
        <v>0</v>
      </c>
      <c r="H90" s="47"/>
      <c r="I90" s="47"/>
      <c r="J90" s="14"/>
      <c r="K90" s="66"/>
    </row>
    <row r="91" spans="1:11" ht="15.75">
      <c r="A91" s="143" t="str">
        <f>B91&amp;COUNTIF($B$4:B91,B91)</f>
        <v>0</v>
      </c>
      <c r="B91" s="49"/>
      <c r="C91" s="47" t="str">
        <f>D91&amp;COUNTIF($D$4:D91,D91)</f>
        <v>0</v>
      </c>
      <c r="D91" s="133"/>
      <c r="E91" s="47"/>
      <c r="F91" s="47"/>
      <c r="G91" s="47">
        <v>0</v>
      </c>
      <c r="H91" s="47"/>
      <c r="I91" s="47"/>
      <c r="J91" s="14"/>
      <c r="K91" s="66"/>
    </row>
    <row r="92" spans="1:11" ht="15.75">
      <c r="A92" s="143" t="str">
        <f>B92&amp;COUNTIF($B$4:B92,B92)</f>
        <v>0</v>
      </c>
      <c r="B92" s="49"/>
      <c r="C92" s="47" t="str">
        <f>D92&amp;COUNTIF($D$4:D92,D92)</f>
        <v>0</v>
      </c>
      <c r="D92" s="133"/>
      <c r="E92" s="47"/>
      <c r="F92" s="47"/>
      <c r="G92" s="47">
        <v>0</v>
      </c>
      <c r="H92" s="47"/>
      <c r="I92" s="47"/>
      <c r="J92" s="14"/>
      <c r="K92" s="66"/>
    </row>
    <row r="93" spans="1:11" ht="19.5" thickBot="1">
      <c r="A93" s="144" t="str">
        <f>B93&amp;COUNTIF($B$4:B93,B93)</f>
        <v>0</v>
      </c>
      <c r="B93" s="99"/>
      <c r="C93" s="99" t="str">
        <f>D93&amp;COUNTIF($D$4:D93,D93)</f>
        <v>0</v>
      </c>
      <c r="D93" s="164"/>
      <c r="E93" s="99"/>
      <c r="F93" s="99"/>
      <c r="G93" s="99"/>
      <c r="H93" s="102">
        <f>I93*10</f>
        <v>12010</v>
      </c>
      <c r="I93" s="99" t="str">
        <f>J93&amp;COUNTIF($J$8:J93,J93)</f>
        <v>1201</v>
      </c>
      <c r="J93" s="100">
        <f>SUM(G89:G92)</f>
        <v>120</v>
      </c>
      <c r="K93" s="145" t="s">
        <v>41</v>
      </c>
    </row>
    <row r="94" spans="1:11" ht="17.25" thickBot="1" thickTop="1">
      <c r="A94" s="137" t="str">
        <f>B94&amp;COUNTIF($B$4:B94,B94)</f>
        <v>0</v>
      </c>
      <c r="B94" s="138"/>
      <c r="C94" s="139" t="str">
        <f>D94&amp;COUNTIF($D$4:D94,D94)</f>
        <v>0</v>
      </c>
      <c r="D94" s="140"/>
      <c r="E94" s="140"/>
      <c r="F94" s="140"/>
      <c r="G94" s="140">
        <v>0</v>
      </c>
      <c r="H94" s="139"/>
      <c r="I94" s="139"/>
      <c r="J94" s="141"/>
      <c r="K94" s="142"/>
    </row>
    <row r="95" spans="1:11" ht="16.5" thickTop="1">
      <c r="A95" s="143" t="str">
        <f>B95&amp;COUNTIF($B$4:B95,B95)</f>
        <v>0</v>
      </c>
      <c r="B95" s="49"/>
      <c r="C95" s="47" t="str">
        <f>D95&amp;COUNTIF($D$4:D95,D95)</f>
        <v>0</v>
      </c>
      <c r="D95" s="133"/>
      <c r="E95" s="133"/>
      <c r="F95" s="133"/>
      <c r="G95" s="140">
        <v>0</v>
      </c>
      <c r="H95" s="47"/>
      <c r="I95" s="47"/>
      <c r="J95" s="14"/>
      <c r="K95" s="66"/>
    </row>
    <row r="96" spans="1:11" ht="15.75">
      <c r="A96" s="143" t="str">
        <f>B96&amp;COUNTIF($B$4:B96,B96)</f>
        <v>63м2</v>
      </c>
      <c r="B96" s="49" t="s">
        <v>339</v>
      </c>
      <c r="C96" s="47" t="str">
        <f>D96&amp;COUNTIF($D$4:D96,D96)</f>
        <v>0</v>
      </c>
      <c r="D96" s="133"/>
      <c r="E96" s="47" t="s">
        <v>338</v>
      </c>
      <c r="F96" s="47" t="s">
        <v>46</v>
      </c>
      <c r="G96" s="47">
        <f>VLOOKUP(A96,'гири лич  '!$A$5:$M77,13,FALSE)</f>
        <v>216</v>
      </c>
      <c r="H96" s="47"/>
      <c r="I96" s="47"/>
      <c r="J96" s="14"/>
      <c r="K96" s="66"/>
    </row>
    <row r="97" spans="1:11" ht="15.75">
      <c r="A97" s="143" t="str">
        <f>B97&amp;COUNTIF($B$4:B97,B97)</f>
        <v>73м5</v>
      </c>
      <c r="B97" s="49" t="s">
        <v>340</v>
      </c>
      <c r="C97" s="47" t="str">
        <f>D97&amp;COUNTIF($D$4:D97,D97)</f>
        <v>0</v>
      </c>
      <c r="D97" s="133"/>
      <c r="E97" s="47" t="s">
        <v>341</v>
      </c>
      <c r="F97" s="47" t="s">
        <v>46</v>
      </c>
      <c r="G97" s="47">
        <f>VLOOKUP(A97,'гири лич  '!$A$5:$M77,13,FALSE)</f>
        <v>170</v>
      </c>
      <c r="H97" s="47"/>
      <c r="I97" s="47"/>
      <c r="J97" s="14"/>
      <c r="K97" s="66"/>
    </row>
    <row r="98" spans="1:11" ht="19.5" thickBot="1">
      <c r="A98" s="144" t="str">
        <f>B98&amp;COUNTIF($B$4:B98,B98)</f>
        <v>0</v>
      </c>
      <c r="B98" s="99"/>
      <c r="C98" s="99" t="str">
        <f>D98&amp;COUNTIF($D$4:D98,D98)</f>
        <v>0</v>
      </c>
      <c r="D98" s="164"/>
      <c r="E98" s="99"/>
      <c r="F98" s="99"/>
      <c r="G98" s="99"/>
      <c r="H98" s="102">
        <f>I98*10</f>
        <v>38610</v>
      </c>
      <c r="I98" s="99" t="str">
        <f>J98&amp;COUNTIF($J$8:J98,J98)</f>
        <v>3861</v>
      </c>
      <c r="J98" s="100">
        <f>SUM(G94:G97)</f>
        <v>386</v>
      </c>
      <c r="K98" s="145" t="s">
        <v>46</v>
      </c>
    </row>
    <row r="99" spans="1:11" ht="17.25" thickBot="1" thickTop="1">
      <c r="A99" s="137" t="str">
        <f>B99&amp;COUNTIF($B$4:B99,B99)</f>
        <v>0</v>
      </c>
      <c r="B99" s="138"/>
      <c r="C99" s="139" t="str">
        <f>D99&amp;COUNTIF($D$4:D99,D99)</f>
        <v>0</v>
      </c>
      <c r="D99" s="140"/>
      <c r="E99" s="140"/>
      <c r="F99" s="140"/>
      <c r="G99" s="140">
        <v>0</v>
      </c>
      <c r="H99" s="139"/>
      <c r="I99" s="139"/>
      <c r="J99" s="141"/>
      <c r="K99" s="142"/>
    </row>
    <row r="100" spans="1:11" ht="16.5" thickTop="1">
      <c r="A100" s="143" t="str">
        <f>B100&amp;COUNTIF($B$4:B100,B100)</f>
        <v>0</v>
      </c>
      <c r="B100" s="49"/>
      <c r="C100" s="47" t="str">
        <f>D100&amp;COUNTIF($D$4:D100,D100)</f>
        <v>0</v>
      </c>
      <c r="D100" s="133"/>
      <c r="E100" s="133"/>
      <c r="F100" s="133"/>
      <c r="G100" s="140">
        <v>0</v>
      </c>
      <c r="H100" s="47"/>
      <c r="I100" s="47"/>
      <c r="J100" s="14"/>
      <c r="K100" s="66"/>
    </row>
    <row r="101" spans="1:11" ht="15.75">
      <c r="A101" s="143" t="str">
        <f>B101&amp;COUNTIF($B$4:B101,B101)</f>
        <v>63м3</v>
      </c>
      <c r="B101" s="49" t="s">
        <v>339</v>
      </c>
      <c r="C101" s="47" t="str">
        <f>D101&amp;COUNTIF($D$4:D101,D101)</f>
        <v>0</v>
      </c>
      <c r="D101" s="133"/>
      <c r="E101" s="47" t="s">
        <v>345</v>
      </c>
      <c r="F101" s="47" t="s">
        <v>4</v>
      </c>
      <c r="G101" s="47">
        <v>0</v>
      </c>
      <c r="H101" s="47"/>
      <c r="I101" s="47"/>
      <c r="J101" s="14"/>
      <c r="K101" s="66"/>
    </row>
    <row r="102" spans="1:11" ht="15.75">
      <c r="A102" s="143" t="str">
        <f>B102&amp;COUNTIF($B$4:B102,B102)</f>
        <v>0</v>
      </c>
      <c r="B102" s="49"/>
      <c r="C102" s="47" t="str">
        <f>D102&amp;COUNTIF($D$4:D102,D102)</f>
        <v>0</v>
      </c>
      <c r="D102" s="133"/>
      <c r="E102" s="47"/>
      <c r="F102" s="47"/>
      <c r="G102" s="47">
        <v>0</v>
      </c>
      <c r="H102" s="47"/>
      <c r="I102" s="47"/>
      <c r="J102" s="14"/>
      <c r="K102" s="66"/>
    </row>
    <row r="103" spans="1:11" ht="19.5" thickBot="1">
      <c r="A103" s="144" t="str">
        <f>B103&amp;COUNTIF($B$4:B103,B103)</f>
        <v>0</v>
      </c>
      <c r="B103" s="99"/>
      <c r="C103" s="99" t="str">
        <f>D103&amp;COUNTIF($D$4:D103,D103)</f>
        <v>0</v>
      </c>
      <c r="D103" s="164"/>
      <c r="E103" s="99"/>
      <c r="F103" s="99"/>
      <c r="G103" s="99"/>
      <c r="H103" s="102">
        <f>I103*10</f>
        <v>10</v>
      </c>
      <c r="I103" s="99" t="str">
        <f>J103&amp;COUNTIF($J$8:J103,J103)</f>
        <v>01</v>
      </c>
      <c r="J103" s="100">
        <f>SUM(G99:G102)</f>
        <v>0</v>
      </c>
      <c r="K103" s="145" t="s">
        <v>4</v>
      </c>
    </row>
    <row r="104" spans="1:11" ht="17.25" thickBot="1" thickTop="1">
      <c r="A104" s="137" t="str">
        <f>B104&amp;COUNTIF($B$4:B104,B104)</f>
        <v>0</v>
      </c>
      <c r="B104" s="138"/>
      <c r="C104" s="139" t="str">
        <f>D104&amp;COUNTIF($D$4:D104,D104)</f>
        <v>0</v>
      </c>
      <c r="D104" s="140"/>
      <c r="E104" s="140"/>
      <c r="F104" s="140"/>
      <c r="G104" s="140">
        <v>0</v>
      </c>
      <c r="H104" s="139"/>
      <c r="I104" s="139"/>
      <c r="J104" s="141"/>
      <c r="K104" s="142"/>
    </row>
    <row r="105" spans="1:11" ht="16.5" thickTop="1">
      <c r="A105" s="143" t="str">
        <f>B105&amp;COUNTIF($B$4:B105,B105)</f>
        <v>0</v>
      </c>
      <c r="B105" s="49"/>
      <c r="C105" s="47" t="str">
        <f>D105&amp;COUNTIF($D$4:D105,D105)</f>
        <v>0</v>
      </c>
      <c r="D105" s="133"/>
      <c r="E105" s="133"/>
      <c r="F105" s="133"/>
      <c r="G105" s="140">
        <v>0</v>
      </c>
      <c r="H105" s="47"/>
      <c r="I105" s="47"/>
      <c r="J105" s="14"/>
      <c r="K105" s="66"/>
    </row>
    <row r="106" spans="1:11" ht="15.75">
      <c r="A106" s="143" t="str">
        <f>B106&amp;COUNTIF($B$4:B106,B106)</f>
        <v>85м6</v>
      </c>
      <c r="B106" s="49" t="s">
        <v>352</v>
      </c>
      <c r="C106" s="47" t="str">
        <f>D106&amp;COUNTIF($D$4:D106,D106)</f>
        <v>0</v>
      </c>
      <c r="D106" s="133"/>
      <c r="E106" s="47" t="s">
        <v>368</v>
      </c>
      <c r="F106" s="47" t="s">
        <v>24</v>
      </c>
      <c r="G106" s="47">
        <v>0</v>
      </c>
      <c r="H106" s="47"/>
      <c r="I106" s="47"/>
      <c r="J106" s="14"/>
      <c r="K106" s="66"/>
    </row>
    <row r="107" spans="1:11" ht="15.75">
      <c r="A107" s="143" t="str">
        <f>B107&amp;COUNTIF($B$4:B107,B107)</f>
        <v>0</v>
      </c>
      <c r="B107" s="49"/>
      <c r="C107" s="47" t="str">
        <f>D107&amp;COUNTIF($D$4:D107,D107)</f>
        <v>0</v>
      </c>
      <c r="D107" s="133"/>
      <c r="E107" s="47"/>
      <c r="F107" s="47"/>
      <c r="G107" s="47">
        <v>0</v>
      </c>
      <c r="H107" s="47"/>
      <c r="I107" s="47"/>
      <c r="J107" s="14"/>
      <c r="K107" s="66"/>
    </row>
    <row r="108" spans="1:11" ht="19.5" thickBot="1">
      <c r="A108" s="144" t="str">
        <f>B108&amp;COUNTIF($B$4:B108,B108)</f>
        <v>0</v>
      </c>
      <c r="B108" s="99"/>
      <c r="C108" s="99" t="str">
        <f>D108&amp;COUNTIF($D$4:D108,D108)</f>
        <v>0</v>
      </c>
      <c r="D108" s="164"/>
      <c r="E108" s="99"/>
      <c r="F108" s="99"/>
      <c r="G108" s="99"/>
      <c r="H108" s="102">
        <f>I108*10</f>
        <v>20</v>
      </c>
      <c r="I108" s="99" t="str">
        <f>J108&amp;COUNTIF($J$8:J108,J108)</f>
        <v>02</v>
      </c>
      <c r="J108" s="100">
        <f>SUM(G104:G107)</f>
        <v>0</v>
      </c>
      <c r="K108" s="145" t="s">
        <v>24</v>
      </c>
    </row>
    <row r="109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1"/>
  <sheetViews>
    <sheetView view="pageBreakPreview" zoomScaleSheetLayoutView="100" workbookViewId="0" topLeftCell="A1">
      <selection activeCell="J27" sqref="J27"/>
    </sheetView>
  </sheetViews>
  <sheetFormatPr defaultColWidth="9.140625" defaultRowHeight="12.75"/>
  <cols>
    <col min="2" max="2" width="33.8515625" style="0" customWidth="1"/>
    <col min="3" max="3" width="8.00390625" style="50" customWidth="1"/>
    <col min="4" max="4" width="8.00390625" style="8" customWidth="1"/>
    <col min="5" max="5" width="20.421875" style="0" customWidth="1"/>
  </cols>
  <sheetData>
    <row r="1" spans="2:47" ht="47.25" customHeight="1" thickBot="1">
      <c r="B1" s="303" t="s">
        <v>56</v>
      </c>
      <c r="C1" s="303"/>
      <c r="D1" s="303"/>
      <c r="E1" s="303"/>
      <c r="F1" s="303"/>
      <c r="G1" s="31"/>
      <c r="H1" s="147">
        <v>1</v>
      </c>
      <c r="I1" s="147">
        <v>2</v>
      </c>
      <c r="J1" s="147">
        <v>3</v>
      </c>
      <c r="K1" s="28">
        <v>4</v>
      </c>
      <c r="L1" s="28">
        <v>5</v>
      </c>
      <c r="M1" s="28">
        <v>6</v>
      </c>
      <c r="N1" s="28">
        <v>7</v>
      </c>
      <c r="O1" s="28">
        <v>8</v>
      </c>
      <c r="P1" s="28">
        <v>9</v>
      </c>
      <c r="Q1" s="28">
        <v>10</v>
      </c>
      <c r="R1" s="28">
        <v>11</v>
      </c>
      <c r="S1" s="28">
        <v>12</v>
      </c>
      <c r="T1" s="28">
        <v>13</v>
      </c>
      <c r="U1" s="28">
        <v>14</v>
      </c>
      <c r="V1" s="28">
        <v>15</v>
      </c>
      <c r="W1" s="28">
        <v>16</v>
      </c>
      <c r="X1" s="28">
        <v>17</v>
      </c>
      <c r="Y1" s="28">
        <v>18</v>
      </c>
      <c r="Z1" s="28">
        <v>19</v>
      </c>
      <c r="AA1" s="28">
        <v>20</v>
      </c>
      <c r="AB1" s="28">
        <v>21</v>
      </c>
      <c r="AC1" s="28">
        <v>22</v>
      </c>
      <c r="AD1" s="28">
        <v>23</v>
      </c>
      <c r="AE1" s="28">
        <v>24</v>
      </c>
      <c r="AF1" s="28">
        <v>25</v>
      </c>
      <c r="AG1" s="28">
        <v>26</v>
      </c>
      <c r="AH1" s="28">
        <v>27</v>
      </c>
      <c r="AI1" s="28">
        <v>28</v>
      </c>
      <c r="AJ1" s="28">
        <v>29</v>
      </c>
      <c r="AK1" s="28">
        <v>30</v>
      </c>
      <c r="AL1" s="28">
        <v>31</v>
      </c>
      <c r="AM1" s="28">
        <v>32</v>
      </c>
      <c r="AN1" s="28">
        <v>33</v>
      </c>
      <c r="AO1" s="28">
        <v>34</v>
      </c>
      <c r="AP1" s="28">
        <v>35</v>
      </c>
      <c r="AQ1" s="28">
        <v>36</v>
      </c>
      <c r="AR1" s="28">
        <v>37</v>
      </c>
      <c r="AS1" s="28">
        <v>38</v>
      </c>
      <c r="AT1" s="28">
        <v>39</v>
      </c>
      <c r="AU1" s="28">
        <v>40</v>
      </c>
    </row>
    <row r="2" spans="2:47" ht="47.25" customHeight="1" thickBot="1">
      <c r="B2" s="123"/>
      <c r="C2" s="123"/>
      <c r="D2" s="158"/>
      <c r="E2" s="123"/>
      <c r="F2" s="123"/>
      <c r="G2" s="31"/>
      <c r="H2" s="148">
        <v>480</v>
      </c>
      <c r="I2" s="148">
        <v>432</v>
      </c>
      <c r="J2" s="148">
        <v>392</v>
      </c>
      <c r="K2" s="39">
        <v>360</v>
      </c>
      <c r="L2" s="39">
        <v>340</v>
      </c>
      <c r="M2" s="39">
        <v>328</v>
      </c>
      <c r="N2" s="39">
        <v>316</v>
      </c>
      <c r="O2" s="39">
        <v>304</v>
      </c>
      <c r="P2" s="39">
        <v>296</v>
      </c>
      <c r="Q2" s="39">
        <v>288</v>
      </c>
      <c r="R2" s="39">
        <v>280</v>
      </c>
      <c r="S2" s="39">
        <v>276</v>
      </c>
      <c r="T2" s="39">
        <v>272</v>
      </c>
      <c r="U2" s="39">
        <v>268</v>
      </c>
      <c r="V2" s="39">
        <v>264</v>
      </c>
      <c r="W2" s="39">
        <v>260</v>
      </c>
      <c r="X2" s="39">
        <v>256</v>
      </c>
      <c r="Y2" s="39">
        <v>252</v>
      </c>
      <c r="Z2" s="39">
        <v>248</v>
      </c>
      <c r="AA2" s="40">
        <v>244</v>
      </c>
      <c r="AB2" s="41">
        <v>240</v>
      </c>
      <c r="AC2" s="39">
        <v>236</v>
      </c>
      <c r="AD2" s="39">
        <v>232</v>
      </c>
      <c r="AE2" s="39">
        <v>228</v>
      </c>
      <c r="AF2" s="39">
        <v>224</v>
      </c>
      <c r="AG2" s="39">
        <v>220</v>
      </c>
      <c r="AH2" s="39">
        <v>216</v>
      </c>
      <c r="AI2" s="39">
        <v>212</v>
      </c>
      <c r="AJ2" s="39">
        <v>208</v>
      </c>
      <c r="AK2" s="39">
        <v>204</v>
      </c>
      <c r="AL2" s="39">
        <v>200</v>
      </c>
      <c r="AM2" s="39">
        <v>196</v>
      </c>
      <c r="AN2" s="39">
        <v>192</v>
      </c>
      <c r="AO2" s="39">
        <v>188</v>
      </c>
      <c r="AP2" s="39">
        <v>184</v>
      </c>
      <c r="AQ2" s="39">
        <v>180</v>
      </c>
      <c r="AR2" s="39">
        <v>176</v>
      </c>
      <c r="AS2" s="39">
        <v>172</v>
      </c>
      <c r="AT2" s="39">
        <v>168</v>
      </c>
      <c r="AU2" s="40">
        <v>164</v>
      </c>
    </row>
    <row r="3" spans="2:10" ht="75" customHeight="1">
      <c r="B3" s="304" t="s">
        <v>58</v>
      </c>
      <c r="C3" s="304"/>
      <c r="D3" s="304"/>
      <c r="E3" s="304"/>
      <c r="F3" s="304"/>
      <c r="G3" s="45"/>
      <c r="H3" s="24"/>
      <c r="I3" s="5"/>
      <c r="J3" s="5"/>
    </row>
    <row r="4" spans="2:10" ht="15.75">
      <c r="B4" s="31"/>
      <c r="C4" s="52"/>
      <c r="D4" s="159"/>
      <c r="E4" s="31"/>
      <c r="F4" s="31"/>
      <c r="G4" s="31"/>
      <c r="H4" s="24"/>
      <c r="I4" s="5"/>
      <c r="J4" s="5"/>
    </row>
    <row r="5" spans="2:10" ht="39.75" customHeight="1">
      <c r="B5" s="305" t="s">
        <v>59</v>
      </c>
      <c r="C5" s="305"/>
      <c r="D5" s="305"/>
      <c r="E5" s="305"/>
      <c r="F5" s="305"/>
      <c r="G5" s="32"/>
      <c r="H5" s="24"/>
      <c r="I5" s="5"/>
      <c r="J5" s="5"/>
    </row>
    <row r="6" spans="2:10" ht="18" customHeight="1">
      <c r="B6" s="32"/>
      <c r="C6" s="53"/>
      <c r="D6" s="160"/>
      <c r="E6" s="32"/>
      <c r="F6" s="32"/>
      <c r="G6" s="32"/>
      <c r="H6" s="24"/>
      <c r="I6" s="5"/>
      <c r="J6" s="5"/>
    </row>
    <row r="7" spans="2:10" ht="16.5" thickBot="1">
      <c r="B7" s="33" t="s">
        <v>73</v>
      </c>
      <c r="C7" s="54"/>
      <c r="D7" s="19"/>
      <c r="E7" s="19"/>
      <c r="F7" s="19" t="s">
        <v>71</v>
      </c>
      <c r="G7" s="19"/>
      <c r="H7" s="24"/>
      <c r="I7" s="5"/>
      <c r="J7" s="5"/>
    </row>
    <row r="8" spans="2:10" ht="80.25" thickBot="1" thickTop="1">
      <c r="B8" s="34" t="s">
        <v>57</v>
      </c>
      <c r="C8" s="55"/>
      <c r="D8" s="161" t="s">
        <v>75</v>
      </c>
      <c r="E8" s="35" t="s">
        <v>74</v>
      </c>
      <c r="F8" s="34" t="s">
        <v>7</v>
      </c>
      <c r="G8" s="19"/>
      <c r="H8" s="24"/>
      <c r="I8" s="5"/>
      <c r="J8" s="5"/>
    </row>
    <row r="9" spans="2:10" ht="16.5" thickTop="1">
      <c r="B9" t="str">
        <f>VLOOKUP(C9,'гири  база  команд '!$H$8:$K$98,4,FALSE)</f>
        <v>Мокшанский</v>
      </c>
      <c r="C9" s="50">
        <f>LARGE('гири  база  команд '!$H$8:$H$98,1)</f>
        <v>70810</v>
      </c>
      <c r="D9" s="8">
        <f>VLOOKUP(C9,'гири  база  команд '!$H$8:$K$98,3,FALSE)</f>
        <v>708</v>
      </c>
      <c r="E9" s="13">
        <f>LOOKUP(F9,$H$1:$AU$1,$H$2:$AU$2)</f>
        <v>480</v>
      </c>
      <c r="F9" s="13">
        <v>1</v>
      </c>
      <c r="H9" s="24"/>
      <c r="I9" s="5"/>
      <c r="J9" s="5"/>
    </row>
    <row r="10" spans="2:10" ht="15.75">
      <c r="B10" t="str">
        <f>VLOOKUP(C10,'гири  база  команд '!$H$8:$K$98,4,FALSE)</f>
        <v>Лопатинский</v>
      </c>
      <c r="C10" s="50">
        <f>LARGE('гири  база  команд '!$H$8:$H$98,2)</f>
        <v>64020</v>
      </c>
      <c r="D10" s="8">
        <f>VLOOKUP(C10,'гири  база  команд '!$H$8:$K$98,3,FALSE)</f>
        <v>640</v>
      </c>
      <c r="E10" s="13">
        <f aca="true" t="shared" si="0" ref="E10:E26">LOOKUP(F10,$H$1:$AU$1,$H$2:$AU$2)</f>
        <v>432</v>
      </c>
      <c r="F10" s="13">
        <v>2</v>
      </c>
      <c r="H10" s="24"/>
      <c r="I10" s="5"/>
      <c r="J10" s="5"/>
    </row>
    <row r="11" spans="2:10" ht="15.75">
      <c r="B11" t="str">
        <f>VLOOKUP(C11,'гири  база  команд '!$H$8:$K$98,4,FALSE)</f>
        <v>Никольский</v>
      </c>
      <c r="C11" s="50">
        <f>LARGE('гири  база  команд '!$H$8:$H$98,3)</f>
        <v>64010</v>
      </c>
      <c r="D11" s="8">
        <f>VLOOKUP(C11,'гири  база  команд '!$H$8:$K$98,3,FALSE)</f>
        <v>640</v>
      </c>
      <c r="E11" s="13">
        <f t="shared" si="0"/>
        <v>392</v>
      </c>
      <c r="F11" s="13">
        <v>3</v>
      </c>
      <c r="H11" s="24"/>
      <c r="I11" s="5"/>
      <c r="J11" s="5"/>
    </row>
    <row r="12" spans="2:10" ht="15.75">
      <c r="B12" t="str">
        <f>VLOOKUP(C12,'гири  база  команд '!$H$8:$K$98,4,FALSE)</f>
        <v>Колышлейский</v>
      </c>
      <c r="C12" s="50">
        <f>LARGE('гири  база  команд '!$H$8:$H$98,4)</f>
        <v>63010</v>
      </c>
      <c r="D12" s="8">
        <f>VLOOKUP(C12,'гири  база  команд '!$H$8:$K$98,3,FALSE)</f>
        <v>630</v>
      </c>
      <c r="E12" s="13">
        <f t="shared" si="0"/>
        <v>360</v>
      </c>
      <c r="F12" s="13">
        <v>4</v>
      </c>
      <c r="H12" s="24"/>
      <c r="I12" s="5"/>
      <c r="J12" s="5"/>
    </row>
    <row r="13" spans="2:10" ht="15.75">
      <c r="B13" t="str">
        <f>VLOOKUP(C13,'гири  база  команд '!$H$8:$K$98,4,FALSE)</f>
        <v>Нижнеломовский</v>
      </c>
      <c r="C13" s="50">
        <f>LARGE('гири  база  команд '!$H$8:$H$98,5)</f>
        <v>62510</v>
      </c>
      <c r="D13" s="8">
        <f>VLOOKUP(C13,'гири  база  команд '!$H$8:$K$98,3,FALSE)</f>
        <v>625</v>
      </c>
      <c r="E13" s="13">
        <f t="shared" si="0"/>
        <v>340</v>
      </c>
      <c r="F13" s="13">
        <v>5</v>
      </c>
      <c r="H13" s="24"/>
      <c r="I13" s="5"/>
      <c r="J13" s="5"/>
    </row>
    <row r="14" spans="2:10" ht="15.75">
      <c r="B14" t="str">
        <f>VLOOKUP(C14,'гири  база  команд '!$H$8:$K$98,4,FALSE)</f>
        <v>Бековский</v>
      </c>
      <c r="C14" s="50">
        <f>LARGE('гири  база  команд '!$H$8:$H$98,6)</f>
        <v>57910</v>
      </c>
      <c r="D14" s="8">
        <f>VLOOKUP(C14,'гири  база  команд '!$H$8:$K$98,3,FALSE)</f>
        <v>579</v>
      </c>
      <c r="E14" s="13">
        <f t="shared" si="0"/>
        <v>328</v>
      </c>
      <c r="F14" s="13">
        <v>6</v>
      </c>
      <c r="H14" s="24"/>
      <c r="I14" s="5"/>
      <c r="J14" s="5"/>
    </row>
    <row r="15" spans="2:10" ht="15.75">
      <c r="B15" t="str">
        <f>VLOOKUP(C15,'гири  база  команд '!$H$8:$K$98,4,FALSE)</f>
        <v>Малосердобинский</v>
      </c>
      <c r="C15" s="50">
        <f>LARGE('гири  база  команд '!$H$8:$H$98,7)</f>
        <v>56910</v>
      </c>
      <c r="D15" s="8">
        <f>VLOOKUP(C15,'гири  база  команд '!$H$8:$K$98,3,FALSE)</f>
        <v>569</v>
      </c>
      <c r="E15" s="13">
        <f t="shared" si="0"/>
        <v>316</v>
      </c>
      <c r="F15" s="13">
        <v>7</v>
      </c>
      <c r="H15" s="24"/>
      <c r="I15" s="5"/>
      <c r="J15" s="5"/>
    </row>
    <row r="16" spans="2:10" ht="15.75">
      <c r="B16" t="str">
        <f>VLOOKUP(C16,'гири  база  команд '!$H$8:$K$98,4,FALSE)</f>
        <v>Кузнецкий</v>
      </c>
      <c r="C16" s="50">
        <f>LARGE('гири  база  команд '!$H$8:$H$98,8)</f>
        <v>56410</v>
      </c>
      <c r="D16" s="8">
        <f>VLOOKUP(C16,'гири  база  команд '!$H$8:$K$98,3,FALSE)</f>
        <v>564</v>
      </c>
      <c r="E16" s="13">
        <f t="shared" si="0"/>
        <v>304</v>
      </c>
      <c r="F16" s="13">
        <v>8</v>
      </c>
      <c r="H16" s="24"/>
      <c r="I16" s="5"/>
      <c r="J16" s="5"/>
    </row>
    <row r="17" spans="2:10" ht="15.75">
      <c r="B17" t="str">
        <f>VLOOKUP(C17,'гири  база  команд '!$H$8:$K$98,4,FALSE)</f>
        <v>Неверкинский</v>
      </c>
      <c r="C17" s="50">
        <f>LARGE('гири  база  команд '!$H$8:$H$98,9)</f>
        <v>54210</v>
      </c>
      <c r="D17" s="8">
        <f>VLOOKUP(C17,'гири  база  команд '!$H$8:$K$98,3,FALSE)</f>
        <v>542</v>
      </c>
      <c r="E17" s="13">
        <f t="shared" si="0"/>
        <v>296</v>
      </c>
      <c r="F17" s="13">
        <v>9</v>
      </c>
      <c r="H17" s="24"/>
      <c r="I17" s="5"/>
      <c r="J17" s="5"/>
    </row>
    <row r="18" spans="2:10" ht="15.75">
      <c r="B18" t="str">
        <f>VLOOKUP(C18,'гири  база  команд '!$H$8:$K$98,4,FALSE)</f>
        <v>Шемышейский</v>
      </c>
      <c r="C18" s="50">
        <f>LARGE('гири  база  команд '!$H$8:$H$98,10)</f>
        <v>51810</v>
      </c>
      <c r="D18" s="8">
        <f>VLOOKUP(C18,'гири  база  команд '!$H$8:$K$98,3,FALSE)</f>
        <v>518</v>
      </c>
      <c r="E18" s="13">
        <f t="shared" si="0"/>
        <v>288</v>
      </c>
      <c r="F18" s="13">
        <v>10</v>
      </c>
      <c r="H18" s="24"/>
      <c r="I18" s="5"/>
      <c r="J18" s="5"/>
    </row>
    <row r="19" spans="2:10" ht="15.75">
      <c r="B19" t="str">
        <f>VLOOKUP(C19,'гири  база  команд '!$H$8:$K$98,4,FALSE)</f>
        <v>Сердобский</v>
      </c>
      <c r="C19" s="50">
        <f>LARGE('гири  база  команд '!$H$8:$H$98,11)</f>
        <v>51210</v>
      </c>
      <c r="D19" s="8">
        <f>VLOOKUP(C19,'гири  база  команд '!$H$8:$K$98,3,FALSE)</f>
        <v>512</v>
      </c>
      <c r="E19" s="13">
        <f t="shared" si="0"/>
        <v>280</v>
      </c>
      <c r="F19" s="13">
        <v>11</v>
      </c>
      <c r="H19" s="24"/>
      <c r="I19" s="5"/>
      <c r="J19" s="5"/>
    </row>
    <row r="20" spans="2:10" ht="15.75">
      <c r="B20" t="str">
        <f>VLOOKUP(C20,'гири  база  команд '!$H$8:$K$98,4,FALSE)</f>
        <v>Белинский</v>
      </c>
      <c r="C20" s="50">
        <f>LARGE('гири  база  команд '!$H$8:$H$98,12)</f>
        <v>50810</v>
      </c>
      <c r="D20" s="8">
        <f>VLOOKUP(C20,'гири  база  команд '!$H$8:$K$98,3,FALSE)</f>
        <v>508</v>
      </c>
      <c r="E20" s="13">
        <f t="shared" si="0"/>
        <v>276</v>
      </c>
      <c r="F20" s="13">
        <v>12</v>
      </c>
      <c r="H20" s="24"/>
      <c r="I20" s="5"/>
      <c r="J20" s="5"/>
    </row>
    <row r="21" spans="2:10" ht="15.75">
      <c r="B21" t="str">
        <f>VLOOKUP(C21,'гири  база  команд '!$H$8:$K$98,4,FALSE)</f>
        <v>Каменский</v>
      </c>
      <c r="C21" s="50">
        <f>LARGE('гири  база  команд '!$H$8:$H$98,13)</f>
        <v>42110</v>
      </c>
      <c r="D21" s="8">
        <f>VLOOKUP(C21,'гири  база  команд '!$H$8:$K$98,3,FALSE)</f>
        <v>421</v>
      </c>
      <c r="E21" s="13">
        <f t="shared" si="0"/>
        <v>272</v>
      </c>
      <c r="F21" s="13">
        <v>13</v>
      </c>
      <c r="H21" s="24"/>
      <c r="I21" s="5"/>
      <c r="J21" s="5"/>
    </row>
    <row r="22" spans="2:10" ht="15.75">
      <c r="B22" t="str">
        <f>VLOOKUP(C22,'гири  база  команд '!$H$8:$K$98,4,FALSE)</f>
        <v>Пачелмский</v>
      </c>
      <c r="C22" s="50">
        <f>LARGE('гири  база  команд '!$H$8:$H$98,14)</f>
        <v>38610</v>
      </c>
      <c r="D22" s="8">
        <f>VLOOKUP(C22,'гири  база  команд '!$H$8:$K$98,3,FALSE)</f>
        <v>386</v>
      </c>
      <c r="E22" s="13">
        <f t="shared" si="0"/>
        <v>268</v>
      </c>
      <c r="F22" s="13">
        <v>14</v>
      </c>
      <c r="H22" s="24"/>
      <c r="I22" s="5"/>
      <c r="J22" s="5"/>
    </row>
    <row r="23" spans="2:10" ht="15.75">
      <c r="B23" t="str">
        <f>VLOOKUP(C23,'гири  база  команд '!$H$8:$K$98,4,FALSE)</f>
        <v>Вадинский</v>
      </c>
      <c r="C23" s="50">
        <f>LARGE('гири  база  команд '!$H$8:$H$98,15)</f>
        <v>27810</v>
      </c>
      <c r="D23" s="8">
        <f>VLOOKUP(C23,'гири  база  команд '!$H$8:$K$98,3,FALSE)</f>
        <v>278</v>
      </c>
      <c r="E23" s="13">
        <f t="shared" si="0"/>
        <v>264</v>
      </c>
      <c r="F23" s="13">
        <v>15</v>
      </c>
      <c r="H23" s="24"/>
      <c r="I23" s="5"/>
      <c r="J23" s="5"/>
    </row>
    <row r="24" spans="2:10" ht="15.75">
      <c r="B24" t="str">
        <f>VLOOKUP(C24,'гири  база  команд '!$H$8:$K$98,4,FALSE)</f>
        <v>Спасский</v>
      </c>
      <c r="C24" s="50">
        <f>LARGE('гири  база  команд '!$H$8:$H$98,16)</f>
        <v>18310</v>
      </c>
      <c r="D24" s="8">
        <f>VLOOKUP(C24,'гири  база  команд '!$H$8:$K$98,3,FALSE)</f>
        <v>183</v>
      </c>
      <c r="E24" s="13">
        <f t="shared" si="0"/>
        <v>260</v>
      </c>
      <c r="F24" s="13">
        <v>16</v>
      </c>
      <c r="H24" s="24"/>
      <c r="I24" s="5"/>
      <c r="J24" s="5"/>
    </row>
    <row r="25" spans="2:10" ht="15.75">
      <c r="B25" t="str">
        <f>VLOOKUP(C25,'гири  база  команд '!$H$8:$K$98,4,FALSE)</f>
        <v>Иссинский</v>
      </c>
      <c r="C25" s="50">
        <f>LARGE('гири  база  команд '!$H$8:$H$98,17)</f>
        <v>12010</v>
      </c>
      <c r="D25" s="8">
        <f>VLOOKUP(C25,'гири  база  команд '!$H$8:$K$98,3,FALSE)</f>
        <v>120</v>
      </c>
      <c r="E25" s="13">
        <f t="shared" si="0"/>
        <v>256</v>
      </c>
      <c r="F25" s="13">
        <v>17</v>
      </c>
      <c r="H25" s="24"/>
      <c r="I25" s="5"/>
      <c r="J25" s="5"/>
    </row>
    <row r="26" spans="2:10" ht="15.75">
      <c r="B26" t="str">
        <f>VLOOKUP(C26,'гири  база  команд '!$H$8:$K$98,4,FALSE)</f>
        <v>Камешкирский</v>
      </c>
      <c r="C26" s="50">
        <f>LARGE('гири  база  команд '!$H$8:$H$98,18)</f>
        <v>8210</v>
      </c>
      <c r="D26" s="8">
        <f>VLOOKUP(C26,'гири  база  команд '!$H$8:$K$98,3,FALSE)</f>
        <v>82</v>
      </c>
      <c r="E26" s="13">
        <f t="shared" si="0"/>
        <v>252</v>
      </c>
      <c r="F26" s="13">
        <v>18</v>
      </c>
      <c r="H26" s="24"/>
      <c r="I26" s="5"/>
      <c r="J26" s="5"/>
    </row>
    <row r="27" spans="8:10" ht="15.75">
      <c r="H27" s="24"/>
      <c r="I27" s="5"/>
      <c r="J27" s="5"/>
    </row>
    <row r="28" spans="8:10" ht="15.75">
      <c r="H28" s="24"/>
      <c r="I28" s="5"/>
      <c r="J28" s="5"/>
    </row>
    <row r="29" spans="8:10" ht="15.75">
      <c r="H29" s="24"/>
      <c r="I29" s="5"/>
      <c r="J29" s="5"/>
    </row>
    <row r="30" spans="8:10" ht="15.75">
      <c r="H30" s="24"/>
      <c r="I30" s="5"/>
      <c r="J30" s="5"/>
    </row>
    <row r="31" spans="8:10" ht="15.75">
      <c r="H31" s="24"/>
      <c r="I31" s="5"/>
      <c r="J31" s="5"/>
    </row>
    <row r="32" spans="8:10" ht="15.75">
      <c r="H32" s="24"/>
      <c r="I32" s="5"/>
      <c r="J32" s="5"/>
    </row>
    <row r="33" spans="8:10" ht="15.75">
      <c r="H33" s="24"/>
      <c r="I33" s="5"/>
      <c r="J33" s="5"/>
    </row>
    <row r="34" spans="8:10" ht="15.75">
      <c r="H34" s="24"/>
      <c r="I34" s="5"/>
      <c r="J34" s="5"/>
    </row>
    <row r="35" spans="8:10" ht="15.75">
      <c r="H35" s="24"/>
      <c r="I35" s="5"/>
      <c r="J35" s="5"/>
    </row>
    <row r="36" spans="8:10" ht="15.75">
      <c r="H36" s="24"/>
      <c r="I36" s="5"/>
      <c r="J36" s="5"/>
    </row>
    <row r="37" spans="8:10" ht="15.75">
      <c r="H37" s="24"/>
      <c r="I37" s="5"/>
      <c r="J37" s="5"/>
    </row>
    <row r="38" spans="8:10" ht="15.75">
      <c r="H38" s="24"/>
      <c r="I38" s="5"/>
      <c r="J38" s="5"/>
    </row>
    <row r="39" spans="8:10" ht="15.75">
      <c r="H39" s="24"/>
      <c r="I39" s="5"/>
      <c r="J39" s="5"/>
    </row>
    <row r="40" spans="8:10" ht="15.75">
      <c r="H40" s="24"/>
      <c r="I40" s="5"/>
      <c r="J40" s="5"/>
    </row>
    <row r="41" spans="8:10" ht="15.75">
      <c r="H41" s="24"/>
      <c r="I41" s="5"/>
      <c r="J41" s="5"/>
    </row>
  </sheetData>
  <sheetProtection/>
  <mergeCells count="3">
    <mergeCell ref="B1:F1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1"/>
  <sheetViews>
    <sheetView zoomScalePageLayoutView="0" workbookViewId="0" topLeftCell="A163">
      <selection activeCell="N188" sqref="N188"/>
    </sheetView>
  </sheetViews>
  <sheetFormatPr defaultColWidth="9.140625" defaultRowHeight="12.75"/>
  <cols>
    <col min="1" max="1" width="7.8515625" style="165" customWidth="1"/>
    <col min="2" max="2" width="27.140625" style="0" customWidth="1"/>
    <col min="3" max="3" width="17.28125" style="0" customWidth="1"/>
    <col min="4" max="4" width="12.7109375" style="0" bestFit="1" customWidth="1"/>
    <col min="5" max="7" width="12.7109375" style="0" customWidth="1"/>
    <col min="8" max="8" width="20.28125" style="0" customWidth="1"/>
  </cols>
  <sheetData>
    <row r="1" spans="2:3" ht="15.75">
      <c r="B1" s="10" t="s">
        <v>76</v>
      </c>
      <c r="C1" s="10"/>
    </row>
    <row r="2" spans="1:3" ht="15.75">
      <c r="A2" s="166"/>
      <c r="B2" s="26"/>
      <c r="C2" s="26"/>
    </row>
    <row r="3" spans="1:8" ht="32.25" thickBot="1">
      <c r="A3" s="167" t="s">
        <v>66</v>
      </c>
      <c r="B3" s="136" t="s">
        <v>54</v>
      </c>
      <c r="C3" s="136" t="s">
        <v>0</v>
      </c>
      <c r="D3" s="136" t="s">
        <v>1</v>
      </c>
      <c r="E3" s="136"/>
      <c r="F3" s="136"/>
      <c r="G3" s="146" t="s">
        <v>32</v>
      </c>
      <c r="H3" s="136" t="s">
        <v>0</v>
      </c>
    </row>
    <row r="4" spans="1:8" ht="17.25" thickBot="1" thickTop="1">
      <c r="A4" s="198">
        <v>3011</v>
      </c>
      <c r="B4" s="140" t="s">
        <v>105</v>
      </c>
      <c r="C4" s="140" t="s">
        <v>44</v>
      </c>
      <c r="D4" s="140">
        <f>VLOOKUP(A4,'лыжи женщ 3 км '!$A$8:$I58,9,FALSE)</f>
        <v>38</v>
      </c>
      <c r="E4" s="139"/>
      <c r="F4" s="139"/>
      <c r="G4" s="141"/>
      <c r="H4" s="142"/>
    </row>
    <row r="5" spans="1:8" ht="16.5" thickTop="1">
      <c r="A5" s="199">
        <v>3010</v>
      </c>
      <c r="B5" s="133" t="s">
        <v>106</v>
      </c>
      <c r="C5" s="133" t="s">
        <v>44</v>
      </c>
      <c r="D5" s="140">
        <f>VLOOKUP(A5,'лыжи женщ 3 км '!$A$8:$I61,9,FALSE)</f>
        <v>37</v>
      </c>
      <c r="E5" s="47"/>
      <c r="F5" s="47"/>
      <c r="G5" s="14"/>
      <c r="H5" s="66"/>
    </row>
    <row r="6" spans="1:8" ht="15.75">
      <c r="A6" s="199">
        <v>3009</v>
      </c>
      <c r="B6" s="177" t="s">
        <v>107</v>
      </c>
      <c r="C6" s="177" t="s">
        <v>44</v>
      </c>
      <c r="D6" s="177">
        <v>0</v>
      </c>
      <c r="E6" s="47"/>
      <c r="F6" s="47"/>
      <c r="G6" s="14"/>
      <c r="H6" s="66"/>
    </row>
    <row r="7" spans="1:8" ht="16.5" customHeight="1">
      <c r="A7" s="200">
        <v>3008</v>
      </c>
      <c r="B7" s="178" t="s">
        <v>108</v>
      </c>
      <c r="C7" s="178" t="s">
        <v>44</v>
      </c>
      <c r="D7" s="177">
        <f>VLOOKUP(A7,'лыжи мужч 5 км'!$A$8:$I58,9,FALSE)</f>
        <v>32</v>
      </c>
      <c r="E7" s="172"/>
      <c r="F7" s="172"/>
      <c r="G7" s="173"/>
      <c r="H7" s="174"/>
    </row>
    <row r="8" spans="1:8" ht="16.5" customHeight="1">
      <c r="A8" s="171"/>
      <c r="B8" s="172" t="s">
        <v>68</v>
      </c>
      <c r="C8" s="178" t="s">
        <v>44</v>
      </c>
      <c r="D8" s="172">
        <v>0</v>
      </c>
      <c r="E8" s="172"/>
      <c r="F8" s="172"/>
      <c r="G8" s="173"/>
      <c r="H8" s="66"/>
    </row>
    <row r="9" spans="1:8" s="175" customFormat="1" ht="19.5" thickBot="1">
      <c r="A9" s="170"/>
      <c r="B9" s="99"/>
      <c r="C9" s="99"/>
      <c r="D9" s="99"/>
      <c r="E9" s="99">
        <f>F9*10</f>
        <v>10710</v>
      </c>
      <c r="F9" s="99" t="str">
        <f>G9&amp;COUNTIF($G9:G$9,G9)</f>
        <v>1071</v>
      </c>
      <c r="G9" s="99">
        <f>SUM(D4:D8)</f>
        <v>107</v>
      </c>
      <c r="H9" s="145" t="s">
        <v>44</v>
      </c>
    </row>
    <row r="10" ht="14.25" thickBot="1" thickTop="1"/>
    <row r="11" spans="1:8" ht="17.25" thickBot="1" thickTop="1">
      <c r="A11" s="168">
        <v>809</v>
      </c>
      <c r="B11" s="140" t="s">
        <v>112</v>
      </c>
      <c r="C11" s="140" t="s">
        <v>23</v>
      </c>
      <c r="D11" s="140">
        <f>VLOOKUP(A11,'лыжи женщ 3 км '!$A$8:$I63,9,FALSE)</f>
        <v>60</v>
      </c>
      <c r="E11" s="139"/>
      <c r="F11" s="139"/>
      <c r="G11" s="141"/>
      <c r="H11" s="142"/>
    </row>
    <row r="12" spans="1:8" ht="16.5" thickTop="1">
      <c r="A12" s="169">
        <v>811</v>
      </c>
      <c r="B12" s="133" t="s">
        <v>113</v>
      </c>
      <c r="C12" s="133" t="s">
        <v>23</v>
      </c>
      <c r="D12" s="140">
        <f>VLOOKUP(A12,'лыжи женщ 3 км '!$A$8:$I63,9,FALSE)</f>
        <v>55</v>
      </c>
      <c r="E12" s="47"/>
      <c r="F12" s="47"/>
      <c r="G12" s="14"/>
      <c r="H12" s="66"/>
    </row>
    <row r="13" spans="1:8" ht="15.75">
      <c r="A13" s="169">
        <v>810</v>
      </c>
      <c r="B13" s="177" t="s">
        <v>114</v>
      </c>
      <c r="C13" s="177" t="s">
        <v>23</v>
      </c>
      <c r="D13" s="177">
        <f>VLOOKUP(A13,'лыжи мужч 5 км'!$A$8:$I62,9,FALSE)</f>
        <v>56</v>
      </c>
      <c r="E13" s="47"/>
      <c r="F13" s="47"/>
      <c r="G13" s="14"/>
      <c r="H13" s="66"/>
    </row>
    <row r="14" spans="1:8" ht="15.75">
      <c r="A14" s="171">
        <v>812</v>
      </c>
      <c r="B14" s="178" t="s">
        <v>115</v>
      </c>
      <c r="C14" s="178" t="s">
        <v>23</v>
      </c>
      <c r="D14" s="177">
        <f>VLOOKUP(A14,'лыжи мужч 5 км'!$A$8:$I63,9,FALSE)</f>
        <v>66</v>
      </c>
      <c r="E14" s="172"/>
      <c r="F14" s="172"/>
      <c r="G14" s="173"/>
      <c r="H14" s="174"/>
    </row>
    <row r="15" spans="1:8" ht="15.75">
      <c r="A15" s="171"/>
      <c r="B15" s="172" t="s">
        <v>68</v>
      </c>
      <c r="C15" s="178" t="s">
        <v>23</v>
      </c>
      <c r="D15" s="172">
        <f>VLOOKUP(C15,'эстафета лыжи'!$C$8:$F35,4,FALSE)</f>
        <v>140</v>
      </c>
      <c r="E15" s="172"/>
      <c r="F15" s="172"/>
      <c r="G15" s="173"/>
      <c r="H15" s="66"/>
    </row>
    <row r="16" spans="1:8" ht="19.5" thickBot="1">
      <c r="A16" s="170"/>
      <c r="B16" s="99"/>
      <c r="C16" s="99"/>
      <c r="D16" s="99"/>
      <c r="E16" s="99">
        <f>F16*10</f>
        <v>37710</v>
      </c>
      <c r="F16" s="99" t="str">
        <f>G16&amp;COUNTIF($G$9:G16,G16)</f>
        <v>3771</v>
      </c>
      <c r="G16" s="99">
        <f>SUM(D11:D15)</f>
        <v>377</v>
      </c>
      <c r="H16" s="145" t="s">
        <v>23</v>
      </c>
    </row>
    <row r="17" ht="14.25" thickBot="1" thickTop="1"/>
    <row r="18" spans="1:8" ht="17.25" thickBot="1" thickTop="1">
      <c r="A18" s="168">
        <v>1102</v>
      </c>
      <c r="B18" s="140" t="s">
        <v>120</v>
      </c>
      <c r="C18" s="140" t="s">
        <v>9</v>
      </c>
      <c r="D18" s="140">
        <f>VLOOKUP(A18,'лыжи женщ 3 км '!$A$8:$I69,9,FALSE)</f>
        <v>35</v>
      </c>
      <c r="E18" s="139"/>
      <c r="F18" s="139"/>
      <c r="G18" s="141"/>
      <c r="H18" s="142"/>
    </row>
    <row r="19" spans="1:8" ht="16.5" thickTop="1">
      <c r="A19" s="169">
        <v>1104</v>
      </c>
      <c r="B19" s="133" t="s">
        <v>121</v>
      </c>
      <c r="C19" s="133" t="s">
        <v>9</v>
      </c>
      <c r="D19" s="140">
        <f>VLOOKUP(A19,'лыжи женщ 3 км '!$A$8:$I70,9,FALSE)</f>
        <v>32</v>
      </c>
      <c r="E19" s="47"/>
      <c r="F19" s="47"/>
      <c r="G19" s="14"/>
      <c r="H19" s="66"/>
    </row>
    <row r="20" spans="1:8" ht="15.75">
      <c r="A20" s="169">
        <v>1101</v>
      </c>
      <c r="B20" s="177" t="s">
        <v>123</v>
      </c>
      <c r="C20" s="177" t="s">
        <v>9</v>
      </c>
      <c r="D20" s="177">
        <f>VLOOKUP(A20,'лыжи мужч 5 км'!$A$8:$I69,9,FALSE)</f>
        <v>40</v>
      </c>
      <c r="E20" s="47"/>
      <c r="F20" s="47"/>
      <c r="G20" s="14"/>
      <c r="H20" s="66"/>
    </row>
    <row r="21" spans="1:8" ht="15.75">
      <c r="A21" s="171">
        <v>1106</v>
      </c>
      <c r="B21" s="178" t="s">
        <v>122</v>
      </c>
      <c r="C21" s="178" t="s">
        <v>9</v>
      </c>
      <c r="D21" s="177">
        <f>VLOOKUP(A21,'лыжи мужч 5 км'!$A$8:$I70,9,FALSE)</f>
        <v>41</v>
      </c>
      <c r="E21" s="172"/>
      <c r="F21" s="172"/>
      <c r="G21" s="173"/>
      <c r="H21" s="174"/>
    </row>
    <row r="22" spans="1:8" ht="15.75">
      <c r="A22" s="171"/>
      <c r="B22" s="172" t="s">
        <v>68</v>
      </c>
      <c r="C22" s="178" t="s">
        <v>9</v>
      </c>
      <c r="D22" s="172">
        <f>VLOOKUP(C22,'эстафета лыжи'!$C$8:$F42,4,FALSE)</f>
        <v>118</v>
      </c>
      <c r="E22" s="172"/>
      <c r="F22" s="172"/>
      <c r="G22" s="173"/>
      <c r="H22" s="66"/>
    </row>
    <row r="23" spans="1:8" ht="19.5" thickBot="1">
      <c r="A23" s="170"/>
      <c r="B23" s="99"/>
      <c r="C23" s="99"/>
      <c r="D23" s="99"/>
      <c r="E23" s="99">
        <f>F23*10</f>
        <v>26610</v>
      </c>
      <c r="F23" s="99" t="str">
        <f>G23&amp;COUNTIF($G$9:G23,G23)</f>
        <v>2661</v>
      </c>
      <c r="G23" s="99">
        <f>SUM(D18:D22)</f>
        <v>266</v>
      </c>
      <c r="H23" s="145" t="s">
        <v>9</v>
      </c>
    </row>
    <row r="24" ht="14.25" thickBot="1" thickTop="1"/>
    <row r="25" spans="1:8" ht="17.25" thickBot="1" thickTop="1">
      <c r="A25" s="168">
        <v>502</v>
      </c>
      <c r="B25" s="140" t="s">
        <v>128</v>
      </c>
      <c r="C25" s="140" t="s">
        <v>42</v>
      </c>
      <c r="D25" s="140">
        <f>VLOOKUP(A25,'лыжи женщ 3 км '!$A$8:$I76,9,FALSE)</f>
        <v>30</v>
      </c>
      <c r="E25" s="139"/>
      <c r="F25" s="139"/>
      <c r="G25" s="141"/>
      <c r="H25" s="142"/>
    </row>
    <row r="26" spans="1:8" ht="16.5" thickTop="1">
      <c r="A26" s="169">
        <v>501</v>
      </c>
      <c r="B26" s="133" t="s">
        <v>129</v>
      </c>
      <c r="C26" s="133" t="s">
        <v>42</v>
      </c>
      <c r="D26" s="140">
        <f>VLOOKUP(A26,'лыжи женщ 3 км '!$A$8:$I77,9,FALSE)</f>
        <v>29</v>
      </c>
      <c r="E26" s="47"/>
      <c r="F26" s="47"/>
      <c r="G26" s="14"/>
      <c r="H26" s="66"/>
    </row>
    <row r="27" spans="1:8" ht="15.75">
      <c r="A27" s="169"/>
      <c r="B27" s="177"/>
      <c r="C27" s="177" t="s">
        <v>42</v>
      </c>
      <c r="D27" s="177">
        <v>0</v>
      </c>
      <c r="E27" s="47"/>
      <c r="F27" s="47"/>
      <c r="G27" s="14"/>
      <c r="H27" s="66"/>
    </row>
    <row r="28" spans="1:8" ht="15.75">
      <c r="A28" s="171"/>
      <c r="B28" s="178"/>
      <c r="C28" s="178" t="s">
        <v>42</v>
      </c>
      <c r="D28" s="177">
        <v>0</v>
      </c>
      <c r="E28" s="172"/>
      <c r="F28" s="172"/>
      <c r="G28" s="173"/>
      <c r="H28" s="174"/>
    </row>
    <row r="29" spans="1:8" ht="15.75">
      <c r="A29" s="171"/>
      <c r="B29" s="172" t="s">
        <v>68</v>
      </c>
      <c r="C29" s="178" t="s">
        <v>42</v>
      </c>
      <c r="D29" s="172">
        <v>0</v>
      </c>
      <c r="E29" s="172"/>
      <c r="F29" s="172"/>
      <c r="G29" s="173"/>
      <c r="H29" s="66"/>
    </row>
    <row r="30" spans="1:8" ht="19.5" thickBot="1">
      <c r="A30" s="170"/>
      <c r="B30" s="99"/>
      <c r="C30" s="99"/>
      <c r="D30" s="99"/>
      <c r="E30" s="99">
        <f>F30*10</f>
        <v>5910</v>
      </c>
      <c r="F30" s="99" t="str">
        <f>G30&amp;COUNTIF($G$9:G30,G30)</f>
        <v>591</v>
      </c>
      <c r="G30" s="99">
        <f>SUM(D25:D29)</f>
        <v>59</v>
      </c>
      <c r="H30" s="145" t="s">
        <v>42</v>
      </c>
    </row>
    <row r="31" ht="14.25" thickBot="1" thickTop="1"/>
    <row r="32" spans="1:8" ht="17.25" thickBot="1" thickTop="1">
      <c r="A32" s="168">
        <v>405</v>
      </c>
      <c r="B32" s="140" t="s">
        <v>130</v>
      </c>
      <c r="C32" s="140" t="s">
        <v>22</v>
      </c>
      <c r="D32" s="140">
        <f>VLOOKUP(A32,'лыжи женщ 3 км '!$A$8:$I83,9,FALSE)</f>
        <v>41</v>
      </c>
      <c r="E32" s="139"/>
      <c r="F32" s="139"/>
      <c r="G32" s="141"/>
      <c r="H32" s="142"/>
    </row>
    <row r="33" spans="1:8" ht="16.5" thickTop="1">
      <c r="A33" s="169">
        <v>407</v>
      </c>
      <c r="B33" s="133" t="s">
        <v>131</v>
      </c>
      <c r="C33" s="133" t="s">
        <v>22</v>
      </c>
      <c r="D33" s="140">
        <f>VLOOKUP(A33,'лыжи женщ 3 км '!$A$8:$I84,9,FALSE)</f>
        <v>53</v>
      </c>
      <c r="E33" s="47"/>
      <c r="F33" s="47"/>
      <c r="G33" s="14"/>
      <c r="H33" s="66"/>
    </row>
    <row r="34" spans="1:8" ht="15.75">
      <c r="A34" s="169">
        <v>404</v>
      </c>
      <c r="B34" s="177" t="s">
        <v>132</v>
      </c>
      <c r="C34" s="177" t="s">
        <v>22</v>
      </c>
      <c r="D34" s="177">
        <f>VLOOKUP(A34,'лыжи мужч 5 км'!$A$8:$I83,9,FALSE)</f>
        <v>60</v>
      </c>
      <c r="E34" s="47"/>
      <c r="F34" s="47"/>
      <c r="G34" s="14"/>
      <c r="H34" s="66"/>
    </row>
    <row r="35" spans="1:8" ht="15.75">
      <c r="A35" s="171">
        <v>406</v>
      </c>
      <c r="B35" s="178" t="s">
        <v>133</v>
      </c>
      <c r="C35" s="178" t="s">
        <v>22</v>
      </c>
      <c r="D35" s="177">
        <f>VLOOKUP(A35,'лыжи мужч 5 км'!$A$8:$I84,9,FALSE)</f>
        <v>44</v>
      </c>
      <c r="E35" s="172"/>
      <c r="F35" s="172"/>
      <c r="G35" s="173"/>
      <c r="H35" s="174"/>
    </row>
    <row r="36" spans="1:8" ht="15.75">
      <c r="A36" s="171"/>
      <c r="B36" s="172" t="s">
        <v>68</v>
      </c>
      <c r="C36" s="178" t="s">
        <v>22</v>
      </c>
      <c r="D36" s="172">
        <f>VLOOKUP(C36,'эстафета лыжи'!$C$8:$F56,4,FALSE)</f>
        <v>130</v>
      </c>
      <c r="E36" s="172"/>
      <c r="F36" s="172"/>
      <c r="G36" s="173"/>
      <c r="H36" s="66"/>
    </row>
    <row r="37" spans="1:8" ht="19.5" thickBot="1">
      <c r="A37" s="170"/>
      <c r="B37" s="99"/>
      <c r="C37" s="99"/>
      <c r="D37" s="99"/>
      <c r="E37" s="99">
        <f>F37*10</f>
        <v>32810</v>
      </c>
      <c r="F37" s="99" t="str">
        <f>G37&amp;COUNTIF($G$9:G37,G37)</f>
        <v>3281</v>
      </c>
      <c r="G37" s="99">
        <f>SUM(D32:D36)</f>
        <v>328</v>
      </c>
      <c r="H37" s="145" t="s">
        <v>22</v>
      </c>
    </row>
    <row r="38" ht="14.25" thickBot="1" thickTop="1"/>
    <row r="39" spans="1:8" ht="17.25" thickBot="1" thickTop="1">
      <c r="A39" s="168">
        <v>2908</v>
      </c>
      <c r="B39" s="140" t="s">
        <v>139</v>
      </c>
      <c r="C39" s="140" t="s">
        <v>29</v>
      </c>
      <c r="D39" s="140">
        <f>VLOOKUP(A39,'лыжи женщ 3 км '!$A$8:$I90,9,FALSE)</f>
        <v>63</v>
      </c>
      <c r="E39" s="139"/>
      <c r="F39" s="139"/>
      <c r="G39" s="141"/>
      <c r="H39" s="142"/>
    </row>
    <row r="40" spans="1:8" ht="16.5" thickTop="1">
      <c r="A40" s="169">
        <v>2909</v>
      </c>
      <c r="B40" s="133" t="s">
        <v>140</v>
      </c>
      <c r="C40" s="133" t="s">
        <v>29</v>
      </c>
      <c r="D40" s="140">
        <f>VLOOKUP(A40,'лыжи женщ 3 км '!$A$8:$I91,9,FALSE)</f>
        <v>40</v>
      </c>
      <c r="E40" s="47"/>
      <c r="F40" s="47"/>
      <c r="G40" s="14"/>
      <c r="H40" s="66"/>
    </row>
    <row r="41" spans="1:8" ht="15.75">
      <c r="A41" s="169">
        <v>2910</v>
      </c>
      <c r="B41" s="177" t="s">
        <v>141</v>
      </c>
      <c r="C41" s="177" t="s">
        <v>29</v>
      </c>
      <c r="D41" s="177">
        <f>VLOOKUP(A41,'лыжи мужч 5 км'!$A$8:$I90,9,FALSE)</f>
        <v>36</v>
      </c>
      <c r="E41" s="47"/>
      <c r="F41" s="47"/>
      <c r="G41" s="14"/>
      <c r="H41" s="66"/>
    </row>
    <row r="42" spans="1:8" ht="15.75">
      <c r="A42" s="171">
        <v>2911</v>
      </c>
      <c r="B42" s="178" t="s">
        <v>142</v>
      </c>
      <c r="C42" s="178" t="s">
        <v>29</v>
      </c>
      <c r="D42" s="177">
        <f>VLOOKUP(A42,'лыжи мужч 5 км'!$A$8:$I91,9,FALSE)</f>
        <v>35</v>
      </c>
      <c r="E42" s="172"/>
      <c r="F42" s="172"/>
      <c r="G42" s="173"/>
      <c r="H42" s="174"/>
    </row>
    <row r="43" spans="1:8" ht="15.75">
      <c r="A43" s="171"/>
      <c r="B43" s="172" t="s">
        <v>68</v>
      </c>
      <c r="C43" s="178" t="s">
        <v>29</v>
      </c>
      <c r="D43" s="172">
        <v>0</v>
      </c>
      <c r="E43" s="172"/>
      <c r="F43" s="172"/>
      <c r="G43" s="173"/>
      <c r="H43" s="66"/>
    </row>
    <row r="44" spans="1:8" ht="19.5" thickBot="1">
      <c r="A44" s="170"/>
      <c r="B44" s="99"/>
      <c r="C44" s="99"/>
      <c r="D44" s="99"/>
      <c r="E44" s="99">
        <f>F44*10</f>
        <v>17410</v>
      </c>
      <c r="F44" s="99" t="str">
        <f>G44&amp;COUNTIF($G$9:G44,G44)</f>
        <v>1741</v>
      </c>
      <c r="G44" s="99">
        <f>SUM(D39:D43)</f>
        <v>174</v>
      </c>
      <c r="H44" s="145" t="s">
        <v>29</v>
      </c>
    </row>
    <row r="45" ht="14.25" thickBot="1" thickTop="1"/>
    <row r="46" spans="1:8" ht="17.25" thickBot="1" thickTop="1">
      <c r="A46" s="168">
        <v>2603</v>
      </c>
      <c r="B46" s="140" t="s">
        <v>143</v>
      </c>
      <c r="C46" s="140" t="s">
        <v>11</v>
      </c>
      <c r="D46" s="140">
        <f>VLOOKUP(A46,'лыжи женщ 3 км '!$A$8:$I97,9,FALSE)</f>
        <v>61</v>
      </c>
      <c r="E46" s="139"/>
      <c r="F46" s="139"/>
      <c r="G46" s="141"/>
      <c r="H46" s="142"/>
    </row>
    <row r="47" spans="1:8" ht="16.5" thickTop="1">
      <c r="A47" s="169">
        <v>2611</v>
      </c>
      <c r="B47" s="133" t="s">
        <v>144</v>
      </c>
      <c r="C47" s="133" t="s">
        <v>11</v>
      </c>
      <c r="D47" s="140">
        <f>VLOOKUP(A47,'лыжи женщ 3 км '!$A$8:$I98,9,FALSE)</f>
        <v>68</v>
      </c>
      <c r="E47" s="47"/>
      <c r="F47" s="47"/>
      <c r="G47" s="14"/>
      <c r="H47" s="66"/>
    </row>
    <row r="48" spans="1:8" ht="15.75">
      <c r="A48" s="169">
        <v>2601</v>
      </c>
      <c r="B48" s="177" t="s">
        <v>145</v>
      </c>
      <c r="C48" s="177" t="s">
        <v>11</v>
      </c>
      <c r="D48" s="177">
        <f>VLOOKUP(A48,'лыжи мужч 5 км'!$A$8:$I97,9,FALSE)</f>
        <v>42</v>
      </c>
      <c r="E48" s="47"/>
      <c r="F48" s="47"/>
      <c r="G48" s="14"/>
      <c r="H48" s="66"/>
    </row>
    <row r="49" spans="1:8" ht="15.75">
      <c r="A49" s="171">
        <v>2602</v>
      </c>
      <c r="B49" s="178" t="s">
        <v>146</v>
      </c>
      <c r="C49" s="178" t="s">
        <v>11</v>
      </c>
      <c r="D49" s="177">
        <f>VLOOKUP(A49,'лыжи мужч 5 км'!$A$8:$I98,9,FALSE)</f>
        <v>120</v>
      </c>
      <c r="E49" s="172"/>
      <c r="F49" s="172"/>
      <c r="G49" s="173"/>
      <c r="H49" s="174"/>
    </row>
    <row r="50" spans="1:8" ht="15.75">
      <c r="A50" s="171"/>
      <c r="B50" s="172" t="s">
        <v>68</v>
      </c>
      <c r="C50" s="178" t="s">
        <v>11</v>
      </c>
      <c r="D50" s="172">
        <f>VLOOKUP(C50,'эстафета лыжи'!$C$8:$F70,4,FALSE)</f>
        <v>164</v>
      </c>
      <c r="E50" s="172"/>
      <c r="F50" s="172"/>
      <c r="G50" s="173"/>
      <c r="H50" s="66"/>
    </row>
    <row r="51" spans="1:8" ht="19.5" thickBot="1">
      <c r="A51" s="170"/>
      <c r="B51" s="99"/>
      <c r="C51" s="99"/>
      <c r="D51" s="99"/>
      <c r="E51" s="99">
        <f>F51*10</f>
        <v>45510</v>
      </c>
      <c r="F51" s="99" t="str">
        <f>G51&amp;COUNTIF($G$9:G51,G51)</f>
        <v>4551</v>
      </c>
      <c r="G51" s="99">
        <f>SUM(D46:D50)</f>
        <v>455</v>
      </c>
      <c r="H51" s="145" t="s">
        <v>11</v>
      </c>
    </row>
    <row r="52" ht="14.25" thickBot="1" thickTop="1"/>
    <row r="53" spans="1:8" ht="17.25" thickBot="1" thickTop="1">
      <c r="A53" s="168">
        <v>714</v>
      </c>
      <c r="B53" s="140" t="s">
        <v>151</v>
      </c>
      <c r="C53" s="140" t="s">
        <v>26</v>
      </c>
      <c r="D53" s="140">
        <f>VLOOKUP(A53,'лыжи женщ 3 км '!$A$8:$I104,9,FALSE)</f>
        <v>44</v>
      </c>
      <c r="E53" s="139"/>
      <c r="F53" s="139"/>
      <c r="G53" s="141"/>
      <c r="H53" s="142"/>
    </row>
    <row r="54" spans="1:8" ht="16.5" thickTop="1">
      <c r="A54" s="169">
        <v>715</v>
      </c>
      <c r="B54" s="133" t="s">
        <v>152</v>
      </c>
      <c r="C54" s="133" t="s">
        <v>26</v>
      </c>
      <c r="D54" s="140">
        <f>VLOOKUP(A54,'лыжи женщ 3 км '!$A$8:$I105,9,FALSE)</f>
        <v>42</v>
      </c>
      <c r="E54" s="47"/>
      <c r="F54" s="47"/>
      <c r="G54" s="14"/>
      <c r="H54" s="66"/>
    </row>
    <row r="55" spans="1:8" ht="15.75">
      <c r="A55" s="169">
        <v>706</v>
      </c>
      <c r="B55" s="177" t="s">
        <v>153</v>
      </c>
      <c r="C55" s="177" t="s">
        <v>26</v>
      </c>
      <c r="D55" s="177">
        <f>VLOOKUP(A55,'лыжи мужч 5 км'!$A$8:$I104,9,FALSE)</f>
        <v>47</v>
      </c>
      <c r="E55" s="47"/>
      <c r="F55" s="47"/>
      <c r="G55" s="14"/>
      <c r="H55" s="66"/>
    </row>
    <row r="56" spans="1:8" ht="15.75">
      <c r="A56" s="171">
        <v>707</v>
      </c>
      <c r="B56" s="178" t="s">
        <v>154</v>
      </c>
      <c r="C56" s="178" t="s">
        <v>26</v>
      </c>
      <c r="D56" s="177">
        <f>VLOOKUP(A56,'лыжи мужч 5 км'!$A$8:$I105,9,FALSE)</f>
        <v>57</v>
      </c>
      <c r="E56" s="172"/>
      <c r="F56" s="172"/>
      <c r="G56" s="173"/>
      <c r="H56" s="174"/>
    </row>
    <row r="57" spans="1:8" ht="15.75">
      <c r="A57" s="171"/>
      <c r="B57" s="172" t="s">
        <v>68</v>
      </c>
      <c r="C57" s="178" t="s">
        <v>26</v>
      </c>
      <c r="D57" s="172">
        <f>VLOOKUP(C57,'эстафета лыжи'!$C$8:$F77,4,FALSE)</f>
        <v>124</v>
      </c>
      <c r="E57" s="172"/>
      <c r="F57" s="172"/>
      <c r="G57" s="173"/>
      <c r="H57" s="66"/>
    </row>
    <row r="58" spans="1:8" ht="19.5" thickBot="1">
      <c r="A58" s="170"/>
      <c r="B58" s="99"/>
      <c r="C58" s="99"/>
      <c r="D58" s="99"/>
      <c r="E58" s="99">
        <f>F58*10</f>
        <v>31410</v>
      </c>
      <c r="F58" s="99" t="str">
        <f>G58&amp;COUNTIF($G$9:G58,G58)</f>
        <v>3141</v>
      </c>
      <c r="G58" s="99">
        <f>SUM(D53:D57)</f>
        <v>314</v>
      </c>
      <c r="H58" s="145" t="s">
        <v>26</v>
      </c>
    </row>
    <row r="59" ht="14.25" thickBot="1" thickTop="1"/>
    <row r="60" spans="1:8" ht="17.25" thickBot="1" thickTop="1">
      <c r="A60" s="168">
        <v>605</v>
      </c>
      <c r="B60" s="140" t="s">
        <v>155</v>
      </c>
      <c r="C60" s="140" t="s">
        <v>41</v>
      </c>
      <c r="D60" s="140">
        <f>VLOOKUP(A60,'лыжи женщ 3 км '!$A$8:$I111,9,FALSE)</f>
        <v>31</v>
      </c>
      <c r="E60" s="139"/>
      <c r="F60" s="139"/>
      <c r="G60" s="141"/>
      <c r="H60" s="142"/>
    </row>
    <row r="61" spans="1:8" ht="16.5" thickTop="1">
      <c r="A61" s="169">
        <v>606</v>
      </c>
      <c r="B61" s="133" t="s">
        <v>156</v>
      </c>
      <c r="C61" s="133" t="s">
        <v>41</v>
      </c>
      <c r="D61" s="140">
        <f>VLOOKUP(A61,'лыжи женщ 3 км '!$A$8:$I112,9,FALSE)</f>
        <v>33</v>
      </c>
      <c r="E61" s="47"/>
      <c r="F61" s="47"/>
      <c r="G61" s="14"/>
      <c r="H61" s="66"/>
    </row>
    <row r="62" spans="1:8" ht="15.75">
      <c r="A62" s="169">
        <v>604</v>
      </c>
      <c r="B62" s="177" t="s">
        <v>157</v>
      </c>
      <c r="C62" s="177" t="s">
        <v>41</v>
      </c>
      <c r="D62" s="177">
        <f>VLOOKUP(A62,'лыжи мужч 5 км'!$A$8:$I111,9,FALSE)</f>
        <v>33</v>
      </c>
      <c r="E62" s="47"/>
      <c r="F62" s="47"/>
      <c r="G62" s="14"/>
      <c r="H62" s="66"/>
    </row>
    <row r="63" spans="1:8" ht="15.75">
      <c r="A63" s="171">
        <v>607</v>
      </c>
      <c r="B63" s="178" t="s">
        <v>158</v>
      </c>
      <c r="C63" s="178" t="s">
        <v>41</v>
      </c>
      <c r="D63" s="177">
        <f>VLOOKUP(A63,'лыжи мужч 5 км'!$A$8:$I112,9,FALSE)</f>
        <v>34</v>
      </c>
      <c r="E63" s="172"/>
      <c r="F63" s="172"/>
      <c r="G63" s="173"/>
      <c r="H63" s="174"/>
    </row>
    <row r="64" spans="1:8" ht="15.75">
      <c r="A64" s="171"/>
      <c r="B64" s="172" t="s">
        <v>68</v>
      </c>
      <c r="C64" s="178" t="s">
        <v>41</v>
      </c>
      <c r="D64" s="172">
        <v>0</v>
      </c>
      <c r="E64" s="172"/>
      <c r="F64" s="172"/>
      <c r="G64" s="173"/>
      <c r="H64" s="66"/>
    </row>
    <row r="65" spans="1:8" ht="19.5" thickBot="1">
      <c r="A65" s="170"/>
      <c r="B65" s="99"/>
      <c r="C65" s="99"/>
      <c r="D65" s="99"/>
      <c r="E65" s="99">
        <f>F65*10</f>
        <v>13110</v>
      </c>
      <c r="F65" s="99" t="str">
        <f>G65&amp;COUNTIF($G$9:G65,G65)</f>
        <v>1311</v>
      </c>
      <c r="G65" s="99">
        <f>SUM(D60:D64)</f>
        <v>131</v>
      </c>
      <c r="H65" s="145" t="s">
        <v>41</v>
      </c>
    </row>
    <row r="66" ht="14.25" thickBot="1" thickTop="1"/>
    <row r="67" spans="1:8" ht="17.25" thickBot="1" thickTop="1">
      <c r="A67" s="168">
        <v>1306</v>
      </c>
      <c r="B67" s="140" t="s">
        <v>163</v>
      </c>
      <c r="C67" s="140" t="s">
        <v>46</v>
      </c>
      <c r="D67" s="140">
        <f>VLOOKUP(A67,'лыжи женщ 3 км '!$A$8:$I118,9,FALSE)</f>
        <v>39</v>
      </c>
      <c r="E67" s="139"/>
      <c r="F67" s="139"/>
      <c r="G67" s="141"/>
      <c r="H67" s="142"/>
    </row>
    <row r="68" spans="1:8" ht="16.5" thickTop="1">
      <c r="A68" s="169">
        <v>1305</v>
      </c>
      <c r="B68" s="133" t="s">
        <v>164</v>
      </c>
      <c r="C68" s="133" t="s">
        <v>46</v>
      </c>
      <c r="D68" s="140">
        <f>VLOOKUP(A68,'лыжи женщ 3 км '!$A$8:$I119,9,FALSE)</f>
        <v>58</v>
      </c>
      <c r="E68" s="47"/>
      <c r="F68" s="47"/>
      <c r="G68" s="14"/>
      <c r="H68" s="66"/>
    </row>
    <row r="69" spans="1:8" ht="15.75">
      <c r="A69" s="169">
        <v>1307</v>
      </c>
      <c r="B69" s="177" t="s">
        <v>165</v>
      </c>
      <c r="C69" s="177" t="s">
        <v>46</v>
      </c>
      <c r="D69" s="177">
        <f>VLOOKUP(A69,'лыжи мужч 5 км'!$A$8:$I118,9,FALSE)</f>
        <v>58</v>
      </c>
      <c r="E69" s="47"/>
      <c r="F69" s="47"/>
      <c r="G69" s="14"/>
      <c r="H69" s="66"/>
    </row>
    <row r="70" spans="1:8" ht="15.75">
      <c r="A70" s="171">
        <v>1301</v>
      </c>
      <c r="B70" s="178" t="s">
        <v>166</v>
      </c>
      <c r="C70" s="178" t="s">
        <v>46</v>
      </c>
      <c r="D70" s="177">
        <f>VLOOKUP(A70,'лыжи мужч 5 км'!$A$8:$I119,9,FALSE)</f>
        <v>68</v>
      </c>
      <c r="E70" s="172"/>
      <c r="F70" s="172"/>
      <c r="G70" s="173"/>
      <c r="H70" s="174"/>
    </row>
    <row r="71" spans="1:8" ht="15.75">
      <c r="A71" s="171"/>
      <c r="B71" s="172" t="s">
        <v>68</v>
      </c>
      <c r="C71" s="178" t="s">
        <v>46</v>
      </c>
      <c r="D71" s="172">
        <f>VLOOKUP(C71,'эстафета лыжи'!$C$8:$F91,4,FALSE)</f>
        <v>132</v>
      </c>
      <c r="E71" s="172"/>
      <c r="F71" s="172"/>
      <c r="G71" s="173"/>
      <c r="H71" s="66"/>
    </row>
    <row r="72" spans="1:8" ht="19.5" thickBot="1">
      <c r="A72" s="170"/>
      <c r="B72" s="99"/>
      <c r="C72" s="99"/>
      <c r="D72" s="99"/>
      <c r="E72" s="99">
        <f>F72*10</f>
        <v>35510</v>
      </c>
      <c r="F72" s="99" t="str">
        <f>G72&amp;COUNTIF($G$9:G72,G72)</f>
        <v>3551</v>
      </c>
      <c r="G72" s="99">
        <f>SUM(D67:D71)</f>
        <v>355</v>
      </c>
      <c r="H72" s="145" t="s">
        <v>46</v>
      </c>
    </row>
    <row r="73" ht="14.25" thickBot="1" thickTop="1"/>
    <row r="74" spans="1:8" ht="17.25" thickBot="1" thickTop="1">
      <c r="A74" s="168">
        <v>1401</v>
      </c>
      <c r="B74" s="140" t="s">
        <v>171</v>
      </c>
      <c r="C74" s="140" t="s">
        <v>20</v>
      </c>
      <c r="D74" s="140">
        <f>VLOOKUP(A74,'лыжи женщ 3 км '!$A$8:$I125,9,FALSE)</f>
        <v>27</v>
      </c>
      <c r="E74" s="139"/>
      <c r="F74" s="139"/>
      <c r="G74" s="141"/>
      <c r="H74" s="142"/>
    </row>
    <row r="75" spans="1:8" ht="16.5" thickTop="1">
      <c r="A75" s="169">
        <v>1405</v>
      </c>
      <c r="B75" s="133" t="s">
        <v>172</v>
      </c>
      <c r="C75" s="133" t="s">
        <v>20</v>
      </c>
      <c r="D75" s="140">
        <f>VLOOKUP(A75,'лыжи женщ 3 км '!$A$8:$I126,9,FALSE)</f>
        <v>50</v>
      </c>
      <c r="E75" s="47"/>
      <c r="F75" s="47"/>
      <c r="G75" s="14"/>
      <c r="H75" s="66"/>
    </row>
    <row r="76" spans="1:8" ht="15.75">
      <c r="A76" s="169">
        <v>1412</v>
      </c>
      <c r="B76" s="177" t="s">
        <v>173</v>
      </c>
      <c r="C76" s="177" t="s">
        <v>20</v>
      </c>
      <c r="D76" s="177">
        <v>0</v>
      </c>
      <c r="E76" s="47"/>
      <c r="F76" s="47"/>
      <c r="G76" s="14"/>
      <c r="H76" s="66"/>
    </row>
    <row r="77" spans="1:8" ht="15.75">
      <c r="A77" s="171">
        <v>1413</v>
      </c>
      <c r="B77" s="178" t="s">
        <v>174</v>
      </c>
      <c r="C77" s="178" t="s">
        <v>20</v>
      </c>
      <c r="D77" s="177">
        <f>VLOOKUP(A77,'лыжи мужч 5 км'!$A$8:$I126,9,FALSE)</f>
        <v>55</v>
      </c>
      <c r="E77" s="172"/>
      <c r="F77" s="172"/>
      <c r="G77" s="173"/>
      <c r="H77" s="174"/>
    </row>
    <row r="78" spans="1:8" ht="15.75">
      <c r="A78" s="171"/>
      <c r="B78" s="172" t="s">
        <v>68</v>
      </c>
      <c r="C78" s="178" t="s">
        <v>20</v>
      </c>
      <c r="D78" s="172">
        <f>VLOOKUP(C78,'эстафета лыжи'!$C$8:$F98,4,FALSE)</f>
        <v>122</v>
      </c>
      <c r="E78" s="172"/>
      <c r="F78" s="172"/>
      <c r="G78" s="173"/>
      <c r="H78" s="66"/>
    </row>
    <row r="79" spans="1:8" ht="19.5" thickBot="1">
      <c r="A79" s="170"/>
      <c r="B79" s="99"/>
      <c r="C79" s="99"/>
      <c r="D79" s="99"/>
      <c r="E79" s="99">
        <f>F79*10</f>
        <v>25410</v>
      </c>
      <c r="F79" s="99" t="str">
        <f>G79&amp;COUNTIF($G$9:G79,G79)</f>
        <v>2541</v>
      </c>
      <c r="G79" s="99">
        <f>SUM(D74:D78)</f>
        <v>254</v>
      </c>
      <c r="H79" s="145" t="s">
        <v>20</v>
      </c>
    </row>
    <row r="80" ht="14.25" thickBot="1" thickTop="1"/>
    <row r="81" spans="1:8" ht="17.25" thickBot="1" thickTop="1">
      <c r="A81" s="168">
        <v>1507</v>
      </c>
      <c r="B81" s="140" t="s">
        <v>178</v>
      </c>
      <c r="C81" s="140" t="s">
        <v>40</v>
      </c>
      <c r="D81" s="140">
        <f>VLOOKUP(A81,'лыжи женщ 3 км '!$A$8:$I132,9,FALSE)</f>
        <v>57</v>
      </c>
      <c r="E81" s="139"/>
      <c r="F81" s="139"/>
      <c r="G81" s="141"/>
      <c r="H81" s="142"/>
    </row>
    <row r="82" spans="1:8" ht="16.5" thickTop="1">
      <c r="A82" s="169">
        <v>1515</v>
      </c>
      <c r="B82" s="133" t="s">
        <v>179</v>
      </c>
      <c r="C82" s="133" t="s">
        <v>40</v>
      </c>
      <c r="D82" s="140">
        <f>VLOOKUP(A82,'лыжи женщ 3 км '!$A$8:$I133,9,FALSE)</f>
        <v>43</v>
      </c>
      <c r="E82" s="47"/>
      <c r="F82" s="47"/>
      <c r="G82" s="14"/>
      <c r="H82" s="66"/>
    </row>
    <row r="83" spans="1:8" ht="15.75">
      <c r="A83" s="169">
        <v>1508</v>
      </c>
      <c r="B83" s="177" t="s">
        <v>180</v>
      </c>
      <c r="C83" s="177" t="s">
        <v>40</v>
      </c>
      <c r="D83" s="177">
        <f>VLOOKUP(A83,'лыжи мужч 5 км'!$A$8:$I132,9,FALSE)</f>
        <v>59</v>
      </c>
      <c r="E83" s="47"/>
      <c r="F83" s="47"/>
      <c r="G83" s="14"/>
      <c r="H83" s="66"/>
    </row>
    <row r="84" spans="1:8" ht="15.75">
      <c r="A84" s="171">
        <v>1509</v>
      </c>
      <c r="B84" s="178" t="s">
        <v>181</v>
      </c>
      <c r="C84" s="178" t="s">
        <v>40</v>
      </c>
      <c r="D84" s="177">
        <f>VLOOKUP(A84,'лыжи мужч 5 км'!$A$8:$I133,9,FALSE)</f>
        <v>63</v>
      </c>
      <c r="E84" s="172"/>
      <c r="F84" s="172"/>
      <c r="G84" s="173"/>
      <c r="H84" s="174"/>
    </row>
    <row r="85" spans="1:8" ht="15.75">
      <c r="A85" s="171"/>
      <c r="B85" s="172" t="s">
        <v>68</v>
      </c>
      <c r="C85" s="178" t="s">
        <v>40</v>
      </c>
      <c r="D85" s="172">
        <f>VLOOKUP(C85,'эстафета лыжи'!$C$8:$F105,4,FALSE)</f>
        <v>134</v>
      </c>
      <c r="E85" s="172"/>
      <c r="F85" s="172"/>
      <c r="G85" s="173"/>
      <c r="H85" s="66"/>
    </row>
    <row r="86" spans="1:8" ht="19.5" thickBot="1">
      <c r="A86" s="170"/>
      <c r="B86" s="99"/>
      <c r="C86" s="99"/>
      <c r="D86" s="99"/>
      <c r="E86" s="99">
        <f>F86*10</f>
        <v>35610</v>
      </c>
      <c r="F86" s="99" t="str">
        <f>G86&amp;COUNTIF($G$9:G86,G86)</f>
        <v>3561</v>
      </c>
      <c r="G86" s="99">
        <f>SUM(D81:D85)</f>
        <v>356</v>
      </c>
      <c r="H86" s="145" t="s">
        <v>40</v>
      </c>
    </row>
    <row r="87" ht="14.25" thickBot="1" thickTop="1"/>
    <row r="88" spans="1:8" ht="17.25" thickBot="1" thickTop="1">
      <c r="A88" s="168">
        <v>1604</v>
      </c>
      <c r="B88" s="140" t="s">
        <v>186</v>
      </c>
      <c r="C88" s="140" t="s">
        <v>38</v>
      </c>
      <c r="D88" s="140">
        <f>VLOOKUP(A88,'лыжи женщ 3 км '!$A$8:$I139,9,FALSE)</f>
        <v>69</v>
      </c>
      <c r="E88" s="139"/>
      <c r="F88" s="139"/>
      <c r="G88" s="141"/>
      <c r="H88" s="142"/>
    </row>
    <row r="89" spans="1:8" ht="16.5" thickTop="1">
      <c r="A89" s="169">
        <v>1614</v>
      </c>
      <c r="B89" s="133" t="s">
        <v>187</v>
      </c>
      <c r="C89" s="133" t="s">
        <v>38</v>
      </c>
      <c r="D89" s="140">
        <f>VLOOKUP(A89,'лыжи женщ 3 км '!$A$8:$I140,9,FALSE)</f>
        <v>108</v>
      </c>
      <c r="E89" s="47"/>
      <c r="F89" s="47"/>
      <c r="G89" s="14"/>
      <c r="H89" s="66"/>
    </row>
    <row r="90" spans="1:8" ht="15.75">
      <c r="A90" s="169">
        <v>1615</v>
      </c>
      <c r="B90" s="177" t="s">
        <v>188</v>
      </c>
      <c r="C90" s="177" t="s">
        <v>38</v>
      </c>
      <c r="D90" s="177">
        <f>VLOOKUP(A90,'лыжи мужч 5 км'!$A$8:$I139,9,FALSE)</f>
        <v>61</v>
      </c>
      <c r="E90" s="47"/>
      <c r="F90" s="47"/>
      <c r="G90" s="14"/>
      <c r="H90" s="66"/>
    </row>
    <row r="91" spans="1:8" ht="15.75">
      <c r="A91" s="171">
        <v>1616</v>
      </c>
      <c r="B91" s="178" t="s">
        <v>189</v>
      </c>
      <c r="C91" s="178" t="s">
        <v>38</v>
      </c>
      <c r="D91" s="177">
        <f>VLOOKUP(A91,'лыжи мужч 5 км'!$A$8:$I140,9,FALSE)</f>
        <v>98</v>
      </c>
      <c r="E91" s="172"/>
      <c r="F91" s="172"/>
      <c r="G91" s="173"/>
      <c r="H91" s="174"/>
    </row>
    <row r="92" spans="1:8" ht="15.75">
      <c r="A92" s="171"/>
      <c r="B92" s="172" t="s">
        <v>68</v>
      </c>
      <c r="C92" s="178" t="s">
        <v>38</v>
      </c>
      <c r="D92" s="172">
        <f>VLOOKUP(C92,'эстафета лыжи'!$C$8:$F112,4,FALSE)</f>
        <v>180</v>
      </c>
      <c r="E92" s="172"/>
      <c r="F92" s="172"/>
      <c r="G92" s="173"/>
      <c r="H92" s="66"/>
    </row>
    <row r="93" spans="1:8" ht="19.5" thickBot="1">
      <c r="A93" s="170"/>
      <c r="B93" s="99"/>
      <c r="C93" s="99"/>
      <c r="D93" s="99"/>
      <c r="E93" s="99">
        <f>F93*10</f>
        <v>51610</v>
      </c>
      <c r="F93" s="99" t="str">
        <f>G93&amp;COUNTIF($G$9:G93,G93)</f>
        <v>5161</v>
      </c>
      <c r="G93" s="99">
        <f>SUM(D88:D92)</f>
        <v>516</v>
      </c>
      <c r="H93" s="145" t="s">
        <v>38</v>
      </c>
    </row>
    <row r="94" ht="14.25" thickBot="1" thickTop="1"/>
    <row r="95" spans="1:8" ht="17.25" thickBot="1" thickTop="1">
      <c r="A95" s="168">
        <v>2008</v>
      </c>
      <c r="B95" s="140" t="s">
        <v>190</v>
      </c>
      <c r="C95" s="140" t="s">
        <v>4</v>
      </c>
      <c r="D95" s="140">
        <f>VLOOKUP(A95,'лыжи женщ 3 км '!$A$8:$I146,9,FALSE)</f>
        <v>56</v>
      </c>
      <c r="E95" s="139"/>
      <c r="F95" s="139"/>
      <c r="G95" s="141"/>
      <c r="H95" s="142"/>
    </row>
    <row r="96" spans="1:8" ht="16.5" thickTop="1">
      <c r="A96" s="169">
        <v>2011</v>
      </c>
      <c r="B96" s="133" t="s">
        <v>191</v>
      </c>
      <c r="C96" s="133" t="s">
        <v>4</v>
      </c>
      <c r="D96" s="140">
        <f>VLOOKUP(A96,'лыжи женщ 3 км '!$A$8:$I147,9,FALSE)</f>
        <v>82</v>
      </c>
      <c r="E96" s="47"/>
      <c r="F96" s="47"/>
      <c r="G96" s="14"/>
      <c r="H96" s="66"/>
    </row>
    <row r="97" spans="1:8" ht="15.75">
      <c r="A97" s="169">
        <v>2010</v>
      </c>
      <c r="B97" s="177" t="s">
        <v>192</v>
      </c>
      <c r="C97" s="177" t="s">
        <v>4</v>
      </c>
      <c r="D97" s="177">
        <f>VLOOKUP(A97,'лыжи мужч 5 км'!$A$8:$I146,9,FALSE)</f>
        <v>45</v>
      </c>
      <c r="E97" s="47"/>
      <c r="F97" s="47"/>
      <c r="G97" s="14"/>
      <c r="H97" s="66"/>
    </row>
    <row r="98" spans="1:8" ht="15.75">
      <c r="A98" s="171">
        <v>2009</v>
      </c>
      <c r="B98" s="178" t="s">
        <v>193</v>
      </c>
      <c r="C98" s="178" t="s">
        <v>4</v>
      </c>
      <c r="D98" s="177">
        <f>VLOOKUP(A98,'лыжи мужч 5 км'!$A$8:$I147,9,FALSE)</f>
        <v>70</v>
      </c>
      <c r="E98" s="172"/>
      <c r="F98" s="172"/>
      <c r="G98" s="173"/>
      <c r="H98" s="174"/>
    </row>
    <row r="99" spans="1:8" ht="15.75">
      <c r="A99" s="171"/>
      <c r="B99" s="172" t="s">
        <v>68</v>
      </c>
      <c r="C99" s="178" t="s">
        <v>4</v>
      </c>
      <c r="D99" s="172">
        <f>VLOOKUP(C99,'эстафета лыжи'!$C$8:$F119,4,FALSE)</f>
        <v>136</v>
      </c>
      <c r="E99" s="172"/>
      <c r="F99" s="172"/>
      <c r="G99" s="173"/>
      <c r="H99" s="66"/>
    </row>
    <row r="100" spans="1:8" ht="19.5" thickBot="1">
      <c r="A100" s="170"/>
      <c r="B100" s="99"/>
      <c r="C100" s="99"/>
      <c r="D100" s="99"/>
      <c r="E100" s="99">
        <f>F100*10</f>
        <v>38910</v>
      </c>
      <c r="F100" s="99" t="str">
        <f>G100&amp;COUNTIF($G$9:G100,G100)</f>
        <v>3891</v>
      </c>
      <c r="G100" s="99">
        <f>SUM(D95:D99)</f>
        <v>389</v>
      </c>
      <c r="H100" s="145" t="s">
        <v>4</v>
      </c>
    </row>
    <row r="101" ht="14.25" thickBot="1" thickTop="1"/>
    <row r="102" spans="1:8" ht="17.25" thickBot="1" thickTop="1">
      <c r="A102" s="168">
        <v>1704</v>
      </c>
      <c r="B102" s="140" t="s">
        <v>196</v>
      </c>
      <c r="C102" s="140" t="s">
        <v>5</v>
      </c>
      <c r="D102" s="140">
        <f>VLOOKUP(A102,'лыжи женщ 3 км '!$A$8:$I153,9,FALSE)</f>
        <v>54</v>
      </c>
      <c r="E102" s="139"/>
      <c r="F102" s="139"/>
      <c r="G102" s="141"/>
      <c r="H102" s="142"/>
    </row>
    <row r="103" spans="1:8" ht="16.5" thickTop="1">
      <c r="A103" s="169">
        <v>1707</v>
      </c>
      <c r="B103" s="133" t="s">
        <v>197</v>
      </c>
      <c r="C103" s="133" t="s">
        <v>5</v>
      </c>
      <c r="D103" s="140">
        <f>VLOOKUP(A103,'лыжи женщ 3 км '!$A$8:$I154,9,FALSE)</f>
        <v>48</v>
      </c>
      <c r="E103" s="47"/>
      <c r="F103" s="47"/>
      <c r="G103" s="14"/>
      <c r="H103" s="66"/>
    </row>
    <row r="104" spans="1:8" ht="15.75">
      <c r="A104" s="169">
        <v>1705</v>
      </c>
      <c r="B104" s="177" t="s">
        <v>198</v>
      </c>
      <c r="C104" s="177" t="s">
        <v>5</v>
      </c>
      <c r="D104" s="177">
        <f>VLOOKUP(A104,'лыжи мужч 5 км'!$A$8:$I153,9,FALSE)</f>
        <v>65</v>
      </c>
      <c r="E104" s="47"/>
      <c r="F104" s="47"/>
      <c r="G104" s="14"/>
      <c r="H104" s="66"/>
    </row>
    <row r="105" spans="1:8" ht="15.75">
      <c r="A105" s="171">
        <v>1706</v>
      </c>
      <c r="B105" s="178" t="s">
        <v>199</v>
      </c>
      <c r="C105" s="178" t="s">
        <v>5</v>
      </c>
      <c r="D105" s="177">
        <f>VLOOKUP(A105,'лыжи мужч 5 км'!$A$8:$I154,9,FALSE)</f>
        <v>67</v>
      </c>
      <c r="E105" s="172"/>
      <c r="F105" s="172"/>
      <c r="G105" s="173"/>
      <c r="H105" s="174"/>
    </row>
    <row r="106" spans="1:8" ht="15.75">
      <c r="A106" s="171"/>
      <c r="B106" s="172" t="s">
        <v>68</v>
      </c>
      <c r="C106" s="178" t="s">
        <v>5</v>
      </c>
      <c r="D106" s="172">
        <f>VLOOKUP(C106,'эстафета лыжи'!$C$8:$F126,4,FALSE)</f>
        <v>138</v>
      </c>
      <c r="E106" s="172"/>
      <c r="F106" s="172"/>
      <c r="G106" s="173"/>
      <c r="H106" s="66"/>
    </row>
    <row r="107" spans="1:8" ht="19.5" thickBot="1">
      <c r="A107" s="170"/>
      <c r="B107" s="99"/>
      <c r="C107" s="99"/>
      <c r="D107" s="99"/>
      <c r="E107" s="99">
        <f>F107*10</f>
        <v>37210</v>
      </c>
      <c r="F107" s="99" t="str">
        <f>G107&amp;COUNTIF($G$9:G107,G107)</f>
        <v>3721</v>
      </c>
      <c r="G107" s="99">
        <f>SUM(D102:D106)</f>
        <v>372</v>
      </c>
      <c r="H107" s="145" t="s">
        <v>5</v>
      </c>
    </row>
    <row r="108" ht="14.25" thickBot="1" thickTop="1"/>
    <row r="109" spans="1:8" ht="17.25" thickBot="1" thickTop="1">
      <c r="A109" s="168">
        <v>303</v>
      </c>
      <c r="B109" s="140" t="s">
        <v>202</v>
      </c>
      <c r="C109" s="140" t="s">
        <v>25</v>
      </c>
      <c r="D109" s="140">
        <f>VLOOKUP(A109,'лыжи женщ 3 км '!$A$8:$I160,9,FALSE)</f>
        <v>46</v>
      </c>
      <c r="E109" s="139"/>
      <c r="F109" s="139"/>
      <c r="G109" s="141"/>
      <c r="H109" s="142"/>
    </row>
    <row r="110" spans="1:8" ht="16.5" thickTop="1">
      <c r="A110" s="169">
        <v>308</v>
      </c>
      <c r="B110" s="133" t="s">
        <v>203</v>
      </c>
      <c r="C110" s="133" t="s">
        <v>25</v>
      </c>
      <c r="D110" s="140">
        <f>VLOOKUP(A110,'лыжи женщ 3 км '!$A$8:$I161,9,FALSE)</f>
        <v>49</v>
      </c>
      <c r="E110" s="47"/>
      <c r="F110" s="47"/>
      <c r="G110" s="14"/>
      <c r="H110" s="66"/>
    </row>
    <row r="111" spans="1:8" ht="15.75">
      <c r="A111" s="169">
        <v>302</v>
      </c>
      <c r="B111" s="177" t="s">
        <v>204</v>
      </c>
      <c r="C111" s="177" t="s">
        <v>25</v>
      </c>
      <c r="D111" s="177">
        <f>VLOOKUP(A111,'лыжи мужч 5 км'!$A$8:$I160,9,FALSE)</f>
        <v>82</v>
      </c>
      <c r="E111" s="47"/>
      <c r="F111" s="47"/>
      <c r="G111" s="14"/>
      <c r="H111" s="66"/>
    </row>
    <row r="112" spans="1:8" ht="15.75">
      <c r="A112" s="171">
        <v>304</v>
      </c>
      <c r="B112" s="178" t="s">
        <v>205</v>
      </c>
      <c r="C112" s="178" t="s">
        <v>25</v>
      </c>
      <c r="D112" s="177">
        <f>VLOOKUP(A112,'лыжи мужч 5 км'!$A$8:$I161,9,FALSE)</f>
        <v>72</v>
      </c>
      <c r="E112" s="172"/>
      <c r="F112" s="172"/>
      <c r="G112" s="173"/>
      <c r="H112" s="174"/>
    </row>
    <row r="113" spans="1:8" ht="15.75">
      <c r="A113" s="171"/>
      <c r="B113" s="172" t="s">
        <v>68</v>
      </c>
      <c r="C113" s="178" t="s">
        <v>25</v>
      </c>
      <c r="D113" s="172">
        <f>VLOOKUP(C113,'эстафета лыжи'!$C$8:$F133,4,FALSE)</f>
        <v>152</v>
      </c>
      <c r="E113" s="172"/>
      <c r="F113" s="172"/>
      <c r="G113" s="173"/>
      <c r="H113" s="66"/>
    </row>
    <row r="114" spans="1:8" ht="19.5" thickBot="1">
      <c r="A114" s="170"/>
      <c r="B114" s="99"/>
      <c r="C114" s="99"/>
      <c r="D114" s="99"/>
      <c r="E114" s="99">
        <f>F114*10</f>
        <v>40110</v>
      </c>
      <c r="F114" s="99" t="str">
        <f>G114&amp;COUNTIF($G$9:G114,G114)</f>
        <v>4011</v>
      </c>
      <c r="G114" s="99">
        <f>SUM(D109:D113)</f>
        <v>401</v>
      </c>
      <c r="H114" s="145" t="s">
        <v>25</v>
      </c>
    </row>
    <row r="115" ht="14.25" thickBot="1" thickTop="1"/>
    <row r="116" spans="1:8" ht="17.25" thickBot="1" thickTop="1">
      <c r="A116" s="168">
        <v>2202</v>
      </c>
      <c r="B116" s="140" t="s">
        <v>208</v>
      </c>
      <c r="C116" s="140" t="s">
        <v>30</v>
      </c>
      <c r="D116" s="140">
        <f>VLOOKUP(A116,'лыжи женщ 3 км '!$A$8:$I167,9,FALSE)</f>
        <v>70</v>
      </c>
      <c r="E116" s="139"/>
      <c r="F116" s="139"/>
      <c r="G116" s="141"/>
      <c r="H116" s="142"/>
    </row>
    <row r="117" spans="1:8" ht="16.5" thickTop="1">
      <c r="A117" s="169">
        <v>2207</v>
      </c>
      <c r="B117" s="133" t="s">
        <v>209</v>
      </c>
      <c r="C117" s="133" t="s">
        <v>30</v>
      </c>
      <c r="D117" s="140">
        <f>VLOOKUP(A117,'лыжи женщ 3 км '!$A$8:$I168,9,FALSE)</f>
        <v>65</v>
      </c>
      <c r="E117" s="47"/>
      <c r="F117" s="47"/>
      <c r="G117" s="14"/>
      <c r="H117" s="66"/>
    </row>
    <row r="118" spans="1:8" ht="15.75">
      <c r="A118" s="169">
        <v>2205</v>
      </c>
      <c r="B118" s="177" t="s">
        <v>210</v>
      </c>
      <c r="C118" s="177" t="s">
        <v>30</v>
      </c>
      <c r="D118" s="177">
        <f>VLOOKUP(A118,'лыжи мужч 5 км'!$A$8:$I167,9,FALSE)</f>
        <v>64</v>
      </c>
      <c r="E118" s="47"/>
      <c r="F118" s="47"/>
      <c r="G118" s="14"/>
      <c r="H118" s="66"/>
    </row>
    <row r="119" spans="1:8" ht="15.75">
      <c r="A119" s="171">
        <v>2206</v>
      </c>
      <c r="B119" s="178" t="s">
        <v>211</v>
      </c>
      <c r="C119" s="178" t="s">
        <v>30</v>
      </c>
      <c r="D119" s="177">
        <f>VLOOKUP(A119,'лыжи мужч 5 км'!$A$8:$I168,9,FALSE)</f>
        <v>98</v>
      </c>
      <c r="E119" s="172"/>
      <c r="F119" s="172"/>
      <c r="G119" s="173"/>
      <c r="H119" s="174"/>
    </row>
    <row r="120" spans="1:8" ht="15.75">
      <c r="A120" s="171"/>
      <c r="B120" s="172" t="s">
        <v>68</v>
      </c>
      <c r="C120" s="178" t="s">
        <v>30</v>
      </c>
      <c r="D120" s="172">
        <f>VLOOKUP(C120,'эстафета лыжи'!$C$8:$F140,4,FALSE)</f>
        <v>170</v>
      </c>
      <c r="E120" s="172"/>
      <c r="F120" s="172"/>
      <c r="G120" s="173"/>
      <c r="H120" s="66"/>
    </row>
    <row r="121" spans="1:8" ht="19.5" thickBot="1">
      <c r="A121" s="170"/>
      <c r="B121" s="99"/>
      <c r="C121" s="99"/>
      <c r="D121" s="99"/>
      <c r="E121" s="99">
        <f>F121*10</f>
        <v>46710</v>
      </c>
      <c r="F121" s="99" t="str">
        <f>G121&amp;COUNTIF($G$9:G121,G121)</f>
        <v>4671</v>
      </c>
      <c r="G121" s="99">
        <f>SUM(D116:D120)</f>
        <v>467</v>
      </c>
      <c r="H121" s="145" t="s">
        <v>30</v>
      </c>
    </row>
    <row r="122" ht="14.25" thickBot="1" thickTop="1"/>
    <row r="123" spans="1:8" ht="17.25" thickBot="1" thickTop="1">
      <c r="A123" s="168">
        <v>2409</v>
      </c>
      <c r="B123" s="140" t="s">
        <v>212</v>
      </c>
      <c r="C123" s="140" t="s">
        <v>19</v>
      </c>
      <c r="D123" s="140">
        <f>VLOOKUP(A123,'лыжи женщ 3 км '!$A$8:$I174,9,FALSE)</f>
        <v>36</v>
      </c>
      <c r="E123" s="139"/>
      <c r="F123" s="139"/>
      <c r="G123" s="141"/>
      <c r="H123" s="142"/>
    </row>
    <row r="124" spans="1:8" ht="16.5" thickTop="1">
      <c r="A124" s="169">
        <v>2408</v>
      </c>
      <c r="B124" s="133" t="s">
        <v>213</v>
      </c>
      <c r="C124" s="133" t="s">
        <v>19</v>
      </c>
      <c r="D124" s="140">
        <f>VLOOKUP(A124,'лыжи женщ 3 км '!$A$8:$I175,9,FALSE)</f>
        <v>28</v>
      </c>
      <c r="E124" s="47"/>
      <c r="F124" s="47"/>
      <c r="G124" s="14"/>
      <c r="H124" s="66"/>
    </row>
    <row r="125" spans="1:8" ht="15.75">
      <c r="A125" s="169">
        <v>2410</v>
      </c>
      <c r="B125" s="177" t="s">
        <v>214</v>
      </c>
      <c r="C125" s="177" t="s">
        <v>19</v>
      </c>
      <c r="D125" s="177">
        <f>VLOOKUP(A125,'лыжи мужч 5 км'!$A$8:$I174,9,FALSE)</f>
        <v>38</v>
      </c>
      <c r="E125" s="47"/>
      <c r="F125" s="47"/>
      <c r="G125" s="14"/>
      <c r="H125" s="66"/>
    </row>
    <row r="126" spans="1:8" ht="15.75">
      <c r="A126" s="171">
        <v>2411</v>
      </c>
      <c r="B126" s="178" t="s">
        <v>215</v>
      </c>
      <c r="C126" s="178" t="s">
        <v>19</v>
      </c>
      <c r="D126" s="177">
        <f>VLOOKUP(A126,'лыжи мужч 5 км'!$A$8:$I175,9,FALSE)</f>
        <v>37</v>
      </c>
      <c r="E126" s="172"/>
      <c r="F126" s="172"/>
      <c r="G126" s="173"/>
      <c r="H126" s="174"/>
    </row>
    <row r="127" spans="1:8" ht="15.75">
      <c r="A127" s="171"/>
      <c r="B127" s="172" t="s">
        <v>68</v>
      </c>
      <c r="C127" s="178" t="s">
        <v>19</v>
      </c>
      <c r="D127" s="172">
        <f>VLOOKUP(C127,'эстафета лыжи'!$C$8:$F147,4,FALSE)</f>
        <v>120</v>
      </c>
      <c r="E127" s="172"/>
      <c r="F127" s="172"/>
      <c r="G127" s="173"/>
      <c r="H127" s="66"/>
    </row>
    <row r="128" spans="1:8" ht="19.5" thickBot="1">
      <c r="A128" s="170"/>
      <c r="B128" s="99"/>
      <c r="C128" s="99"/>
      <c r="D128" s="99"/>
      <c r="E128" s="99">
        <f>F128*10</f>
        <v>25910</v>
      </c>
      <c r="F128" s="99" t="str">
        <f>G128&amp;COUNTIF($G$9:G128,G128)</f>
        <v>2591</v>
      </c>
      <c r="G128" s="99">
        <f>SUM(D123:D127)</f>
        <v>259</v>
      </c>
      <c r="H128" s="145" t="s">
        <v>19</v>
      </c>
    </row>
    <row r="129" ht="14.25" thickBot="1" thickTop="1"/>
    <row r="130" spans="1:8" ht="17.25" thickBot="1" thickTop="1">
      <c r="A130" s="168">
        <v>101</v>
      </c>
      <c r="B130" s="140" t="s">
        <v>216</v>
      </c>
      <c r="C130" s="140" t="s">
        <v>3</v>
      </c>
      <c r="D130" s="140">
        <f>VLOOKUP(A130,'лыжи женщ 3 км '!$A$8:$I181,9,FALSE)</f>
        <v>98</v>
      </c>
      <c r="E130" s="139"/>
      <c r="F130" s="139"/>
      <c r="G130" s="141"/>
      <c r="H130" s="142"/>
    </row>
    <row r="131" spans="1:8" ht="16.5" thickTop="1">
      <c r="A131" s="169">
        <v>102</v>
      </c>
      <c r="B131" s="133" t="s">
        <v>217</v>
      </c>
      <c r="C131" s="133" t="s">
        <v>3</v>
      </c>
      <c r="D131" s="140">
        <f>VLOOKUP(A131,'лыжи женщ 3 км '!$A$8:$I182,9,FALSE)</f>
        <v>90</v>
      </c>
      <c r="E131" s="47"/>
      <c r="F131" s="47"/>
      <c r="G131" s="14"/>
      <c r="H131" s="66"/>
    </row>
    <row r="132" spans="1:8" ht="15.75">
      <c r="A132" s="169">
        <v>113</v>
      </c>
      <c r="B132" s="177" t="s">
        <v>219</v>
      </c>
      <c r="C132" s="177" t="s">
        <v>3</v>
      </c>
      <c r="D132" s="177">
        <f>VLOOKUP(A132,'лыжи мужч 5 км'!$A$8:$I181,9,FALSE)</f>
        <v>43</v>
      </c>
      <c r="E132" s="47"/>
      <c r="F132" s="47"/>
      <c r="G132" s="14"/>
      <c r="H132" s="66"/>
    </row>
    <row r="133" spans="1:8" ht="15.75">
      <c r="A133" s="171">
        <v>114</v>
      </c>
      <c r="B133" s="178" t="s">
        <v>218</v>
      </c>
      <c r="C133" s="178" t="s">
        <v>3</v>
      </c>
      <c r="D133" s="177">
        <f>VLOOKUP(A133,'лыжи мужч 5 км'!$A$8:$I182,9,FALSE)</f>
        <v>54</v>
      </c>
      <c r="E133" s="172"/>
      <c r="F133" s="172"/>
      <c r="G133" s="173"/>
      <c r="H133" s="174"/>
    </row>
    <row r="134" spans="1:8" ht="15.75">
      <c r="A134" s="171"/>
      <c r="B134" s="172" t="s">
        <v>68</v>
      </c>
      <c r="C134" s="178" t="s">
        <v>3</v>
      </c>
      <c r="D134" s="172">
        <f>VLOOKUP(C134,'эстафета лыжи'!$C$8:$F154,4,FALSE)</f>
        <v>144</v>
      </c>
      <c r="E134" s="172"/>
      <c r="F134" s="172"/>
      <c r="G134" s="173"/>
      <c r="H134" s="66"/>
    </row>
    <row r="135" spans="1:8" ht="19.5" thickBot="1">
      <c r="A135" s="170"/>
      <c r="B135" s="99"/>
      <c r="C135" s="99"/>
      <c r="D135" s="99"/>
      <c r="E135" s="99">
        <f>F135*10</f>
        <v>42910</v>
      </c>
      <c r="F135" s="99" t="str">
        <f>G135&amp;COUNTIF($G$9:G135,G135)</f>
        <v>4291</v>
      </c>
      <c r="G135" s="99">
        <f>SUM(D130:D134)</f>
        <v>429</v>
      </c>
      <c r="H135" s="145" t="s">
        <v>3</v>
      </c>
    </row>
    <row r="136" ht="14.25" thickBot="1" thickTop="1"/>
    <row r="137" spans="1:8" ht="17.25" thickBot="1" thickTop="1">
      <c r="A137" s="168">
        <v>2510</v>
      </c>
      <c r="B137" s="140" t="s">
        <v>230</v>
      </c>
      <c r="C137" s="140" t="s">
        <v>45</v>
      </c>
      <c r="D137" s="140">
        <f>VLOOKUP(A137,'лыжи женщ 3 км '!$A$8:$I188,9,FALSE)</f>
        <v>67</v>
      </c>
      <c r="E137" s="139"/>
      <c r="F137" s="139"/>
      <c r="G137" s="141"/>
      <c r="H137" s="142"/>
    </row>
    <row r="138" spans="1:8" ht="16.5" thickTop="1">
      <c r="A138" s="169">
        <v>2511</v>
      </c>
      <c r="B138" s="133" t="s">
        <v>231</v>
      </c>
      <c r="C138" s="133" t="s">
        <v>45</v>
      </c>
      <c r="D138" s="140">
        <f>VLOOKUP(A138,'лыжи женщ 3 км '!$A$8:$I189,9,FALSE)</f>
        <v>120</v>
      </c>
      <c r="E138" s="47"/>
      <c r="F138" s="47"/>
      <c r="G138" s="14"/>
      <c r="H138" s="66"/>
    </row>
    <row r="139" spans="1:8" ht="15.75">
      <c r="A139" s="169">
        <v>2509</v>
      </c>
      <c r="B139" s="177" t="s">
        <v>232</v>
      </c>
      <c r="C139" s="177" t="s">
        <v>45</v>
      </c>
      <c r="D139" s="177">
        <f>VLOOKUP(A139,'лыжи мужч 5 км'!$A$8:$I188,9,FALSE)</f>
        <v>79</v>
      </c>
      <c r="E139" s="47"/>
      <c r="F139" s="47"/>
      <c r="G139" s="14"/>
      <c r="H139" s="66"/>
    </row>
    <row r="140" spans="1:8" ht="15.75">
      <c r="A140" s="171">
        <v>2512</v>
      </c>
      <c r="B140" s="178" t="s">
        <v>233</v>
      </c>
      <c r="C140" s="178" t="s">
        <v>45</v>
      </c>
      <c r="D140" s="177">
        <f>VLOOKUP(A140,'лыжи мужч 5 км'!$A$8:$I189,9,FALSE)</f>
        <v>52</v>
      </c>
      <c r="E140" s="172"/>
      <c r="F140" s="172"/>
      <c r="G140" s="173"/>
      <c r="H140" s="174"/>
    </row>
    <row r="141" spans="1:8" ht="15.75">
      <c r="A141" s="171"/>
      <c r="B141" s="172" t="s">
        <v>68</v>
      </c>
      <c r="C141" s="178" t="s">
        <v>45</v>
      </c>
      <c r="D141" s="172">
        <f>VLOOKUP(C141,'эстафета лыжи'!$C$8:$F161,4,FALSE)</f>
        <v>216</v>
      </c>
      <c r="E141" s="172"/>
      <c r="F141" s="172"/>
      <c r="G141" s="173"/>
      <c r="H141" s="66"/>
    </row>
    <row r="142" spans="1:8" ht="19.5" thickBot="1">
      <c r="A142" s="170"/>
      <c r="B142" s="99"/>
      <c r="C142" s="99"/>
      <c r="D142" s="99"/>
      <c r="E142" s="99">
        <f>F142*10</f>
        <v>53410</v>
      </c>
      <c r="F142" s="99" t="str">
        <f>G142&amp;COUNTIF($G$9:G142,G142)</f>
        <v>5341</v>
      </c>
      <c r="G142" s="99">
        <f>SUM(D137:D141)</f>
        <v>534</v>
      </c>
      <c r="H142" s="145" t="s">
        <v>45</v>
      </c>
    </row>
    <row r="143" ht="14.25" thickBot="1" thickTop="1"/>
    <row r="144" spans="1:8" ht="17.25" thickBot="1" thickTop="1">
      <c r="A144" s="168">
        <v>2803</v>
      </c>
      <c r="B144" s="140" t="s">
        <v>238</v>
      </c>
      <c r="C144" s="140" t="s">
        <v>39</v>
      </c>
      <c r="D144" s="140">
        <f>VLOOKUP(A144,'лыжи женщ 3 км '!$A$8:$I195,9,FALSE)</f>
        <v>85</v>
      </c>
      <c r="E144" s="139"/>
      <c r="F144" s="139"/>
      <c r="G144" s="141"/>
      <c r="H144" s="142"/>
    </row>
    <row r="145" spans="1:8" ht="16.5" thickTop="1">
      <c r="A145" s="169">
        <v>2804</v>
      </c>
      <c r="B145" s="133" t="s">
        <v>239</v>
      </c>
      <c r="C145" s="133" t="s">
        <v>39</v>
      </c>
      <c r="D145" s="140">
        <f>VLOOKUP(A145,'лыжи женщ 3 км '!$A$8:$I196,9,FALSE)</f>
        <v>72</v>
      </c>
      <c r="E145" s="47"/>
      <c r="F145" s="47"/>
      <c r="G145" s="14"/>
      <c r="H145" s="66"/>
    </row>
    <row r="146" spans="1:8" ht="15.75">
      <c r="A146" s="169">
        <v>2805</v>
      </c>
      <c r="B146" s="177" t="s">
        <v>240</v>
      </c>
      <c r="C146" s="177" t="s">
        <v>39</v>
      </c>
      <c r="D146" s="177">
        <f>VLOOKUP(A146,'лыжи мужч 5 км'!$A$8:$I195,9,FALSE)</f>
        <v>76</v>
      </c>
      <c r="E146" s="47"/>
      <c r="F146" s="47"/>
      <c r="G146" s="14"/>
      <c r="H146" s="66"/>
    </row>
    <row r="147" spans="1:8" ht="15.75">
      <c r="A147" s="171">
        <v>2811</v>
      </c>
      <c r="B147" s="178" t="s">
        <v>241</v>
      </c>
      <c r="C147" s="178" t="s">
        <v>39</v>
      </c>
      <c r="D147" s="177">
        <f>VLOOKUP(A147,'лыжи мужч 5 км'!$A$8:$I196,9,FALSE)</f>
        <v>46</v>
      </c>
      <c r="E147" s="172"/>
      <c r="F147" s="172"/>
      <c r="G147" s="173"/>
      <c r="H147" s="174"/>
    </row>
    <row r="148" spans="1:8" ht="15.75">
      <c r="A148" s="171"/>
      <c r="B148" s="172" t="s">
        <v>68</v>
      </c>
      <c r="C148" s="178" t="s">
        <v>39</v>
      </c>
      <c r="D148" s="172">
        <f>VLOOKUP(C148,'эстафета лыжи'!$C$8:$F168,4,FALSE)</f>
        <v>196</v>
      </c>
      <c r="E148" s="172"/>
      <c r="F148" s="172"/>
      <c r="G148" s="173"/>
      <c r="H148" s="66"/>
    </row>
    <row r="149" spans="1:8" ht="19.5" thickBot="1">
      <c r="A149" s="170"/>
      <c r="B149" s="99"/>
      <c r="C149" s="99"/>
      <c r="D149" s="99"/>
      <c r="E149" s="99">
        <f>F149*10</f>
        <v>47510</v>
      </c>
      <c r="F149" s="99" t="str">
        <f>G149&amp;COUNTIF($G$9:G149,G149)</f>
        <v>4751</v>
      </c>
      <c r="G149" s="99">
        <f>SUM(D144:D148)</f>
        <v>475</v>
      </c>
      <c r="H149" s="145" t="s">
        <v>39</v>
      </c>
    </row>
    <row r="150" ht="14.25" thickBot="1" thickTop="1"/>
    <row r="151" spans="1:8" ht="17.25" thickBot="1" thickTop="1">
      <c r="A151" s="168">
        <v>3103</v>
      </c>
      <c r="B151" s="140" t="s">
        <v>242</v>
      </c>
      <c r="C151" s="140" t="s">
        <v>24</v>
      </c>
      <c r="D151" s="140">
        <f>VLOOKUP(A151,'лыжи женщ 3 км '!$A$8:$I202,9,FALSE)</f>
        <v>74</v>
      </c>
      <c r="E151" s="139"/>
      <c r="F151" s="139"/>
      <c r="G151" s="141"/>
      <c r="H151" s="142"/>
    </row>
    <row r="152" spans="1:8" ht="16.5" thickTop="1">
      <c r="A152" s="169">
        <v>3101</v>
      </c>
      <c r="B152" s="133" t="s">
        <v>243</v>
      </c>
      <c r="C152" s="133" t="s">
        <v>24</v>
      </c>
      <c r="D152" s="140">
        <f>VLOOKUP(A152,'лыжи женщ 3 км '!$A$8:$I203,9,FALSE)</f>
        <v>52</v>
      </c>
      <c r="E152" s="47"/>
      <c r="F152" s="47"/>
      <c r="G152" s="14"/>
      <c r="H152" s="66"/>
    </row>
    <row r="153" spans="1:8" ht="15.75">
      <c r="A153" s="169">
        <v>3102</v>
      </c>
      <c r="B153" s="177" t="s">
        <v>244</v>
      </c>
      <c r="C153" s="177" t="s">
        <v>24</v>
      </c>
      <c r="D153" s="177">
        <f>VLOOKUP(A153,'лыжи мужч 5 км'!$A$8:$I202,9,FALSE)</f>
        <v>62</v>
      </c>
      <c r="E153" s="47"/>
      <c r="F153" s="47"/>
      <c r="G153" s="14"/>
      <c r="H153" s="66"/>
    </row>
    <row r="154" spans="1:8" ht="15.75">
      <c r="A154" s="171">
        <v>3104</v>
      </c>
      <c r="B154" s="178" t="s">
        <v>245</v>
      </c>
      <c r="C154" s="178" t="s">
        <v>24</v>
      </c>
      <c r="D154" s="177">
        <f>VLOOKUP(A154,'лыжи мужч 5 км'!$A$8:$I203,9,FALSE)</f>
        <v>48</v>
      </c>
      <c r="E154" s="172"/>
      <c r="F154" s="172"/>
      <c r="G154" s="173"/>
      <c r="H154" s="174"/>
    </row>
    <row r="155" spans="1:8" ht="15.75">
      <c r="A155" s="171"/>
      <c r="B155" s="172" t="s">
        <v>68</v>
      </c>
      <c r="C155" s="178" t="s">
        <v>24</v>
      </c>
      <c r="D155" s="172">
        <f>VLOOKUP(C155,'эстафета лыжи'!$C$8:$F175,4,FALSE)</f>
        <v>148</v>
      </c>
      <c r="E155" s="172"/>
      <c r="F155" s="172"/>
      <c r="G155" s="173"/>
      <c r="H155" s="66"/>
    </row>
    <row r="156" spans="1:8" ht="19.5" thickBot="1">
      <c r="A156" s="170"/>
      <c r="B156" s="99"/>
      <c r="C156" s="99"/>
      <c r="D156" s="99"/>
      <c r="E156" s="99">
        <f>F156*10</f>
        <v>38410</v>
      </c>
      <c r="F156" s="99" t="str">
        <f>G156&amp;COUNTIF($G$9:G156,G156)</f>
        <v>3841</v>
      </c>
      <c r="G156" s="99">
        <f>SUM(D151:D155)</f>
        <v>384</v>
      </c>
      <c r="H156" s="145" t="s">
        <v>24</v>
      </c>
    </row>
    <row r="157" ht="14.25" thickBot="1" thickTop="1"/>
    <row r="158" spans="1:8" ht="17.25" thickBot="1" thickTop="1">
      <c r="A158" s="168">
        <v>3205</v>
      </c>
      <c r="B158" s="140" t="s">
        <v>246</v>
      </c>
      <c r="C158" s="140" t="s">
        <v>43</v>
      </c>
      <c r="D158" s="140">
        <f>VLOOKUP(A158,'лыжи женщ 3 км '!$A$8:$I209,9,FALSE)</f>
        <v>64</v>
      </c>
      <c r="E158" s="139"/>
      <c r="F158" s="139"/>
      <c r="G158" s="141"/>
      <c r="H158" s="142"/>
    </row>
    <row r="159" spans="1:8" ht="16.5" thickTop="1">
      <c r="A159" s="169">
        <v>3206</v>
      </c>
      <c r="B159" s="133" t="s">
        <v>247</v>
      </c>
      <c r="C159" s="133" t="s">
        <v>43</v>
      </c>
      <c r="D159" s="140">
        <f>VLOOKUP(A159,'лыжи женщ 3 км '!$A$8:$I210,9,FALSE)</f>
        <v>76</v>
      </c>
      <c r="E159" s="47"/>
      <c r="F159" s="47"/>
      <c r="G159" s="14"/>
      <c r="H159" s="66"/>
    </row>
    <row r="160" spans="1:8" ht="15.75">
      <c r="A160" s="169">
        <v>3202</v>
      </c>
      <c r="B160" s="177" t="s">
        <v>248</v>
      </c>
      <c r="C160" s="177" t="s">
        <v>43</v>
      </c>
      <c r="D160" s="177">
        <f>VLOOKUP(A160,'лыжи мужч 5 км'!$A$8:$I209,9,FALSE)</f>
        <v>69</v>
      </c>
      <c r="E160" s="47"/>
      <c r="F160" s="47"/>
      <c r="G160" s="14"/>
      <c r="H160" s="66"/>
    </row>
    <row r="161" spans="1:8" ht="15.75">
      <c r="A161" s="171">
        <v>3203</v>
      </c>
      <c r="B161" s="178" t="s">
        <v>249</v>
      </c>
      <c r="C161" s="178" t="s">
        <v>43</v>
      </c>
      <c r="D161" s="177">
        <f>VLOOKUP(A161,'лыжи мужч 5 км'!$A$8:$I210,9,FALSE)</f>
        <v>49</v>
      </c>
      <c r="E161" s="172"/>
      <c r="F161" s="172"/>
      <c r="G161" s="173"/>
      <c r="H161" s="174"/>
    </row>
    <row r="162" spans="1:8" ht="15.75">
      <c r="A162" s="171"/>
      <c r="B162" s="172" t="s">
        <v>68</v>
      </c>
      <c r="C162" s="178" t="s">
        <v>43</v>
      </c>
      <c r="D162" s="172">
        <f>VLOOKUP(C162,'эстафета лыжи'!$C$8:$F182,4,FALSE)</f>
        <v>158</v>
      </c>
      <c r="E162" s="172"/>
      <c r="F162" s="172"/>
      <c r="G162" s="173"/>
      <c r="H162" s="66"/>
    </row>
    <row r="163" spans="1:8" ht="19.5" thickBot="1">
      <c r="A163" s="170"/>
      <c r="B163" s="99"/>
      <c r="C163" s="99"/>
      <c r="D163" s="99"/>
      <c r="E163" s="99">
        <f>F163*10</f>
        <v>41610</v>
      </c>
      <c r="F163" s="99" t="str">
        <f>G163&amp;COUNTIF($G$9:G163,G163)</f>
        <v>4161</v>
      </c>
      <c r="G163" s="99">
        <f>SUM(D158:D162)</f>
        <v>416</v>
      </c>
      <c r="H163" s="145" t="s">
        <v>43</v>
      </c>
    </row>
    <row r="164" ht="14.25" thickBot="1" thickTop="1"/>
    <row r="165" spans="1:8" ht="17.25" thickBot="1" thickTop="1">
      <c r="A165" s="168">
        <v>214</v>
      </c>
      <c r="B165" s="140" t="s">
        <v>250</v>
      </c>
      <c r="C165" s="140" t="s">
        <v>28</v>
      </c>
      <c r="D165" s="140">
        <f>VLOOKUP(A165,'лыжи женщ 3 км '!$A$8:$I216,9,FALSE)</f>
        <v>47</v>
      </c>
      <c r="E165" s="139"/>
      <c r="F165" s="139"/>
      <c r="G165" s="141"/>
      <c r="H165" s="142"/>
    </row>
    <row r="166" spans="1:8" ht="16.5" thickTop="1">
      <c r="A166" s="169">
        <v>213</v>
      </c>
      <c r="B166" s="133" t="s">
        <v>251</v>
      </c>
      <c r="C166" s="133" t="s">
        <v>28</v>
      </c>
      <c r="D166" s="140">
        <f>VLOOKUP(A166,'лыжи женщ 3 км '!$A$8:$I217,9,FALSE)</f>
        <v>45</v>
      </c>
      <c r="E166" s="47"/>
      <c r="F166" s="47"/>
      <c r="G166" s="14"/>
      <c r="H166" s="66"/>
    </row>
    <row r="167" spans="1:8" ht="15.75">
      <c r="A167" s="169">
        <v>216</v>
      </c>
      <c r="B167" s="177" t="s">
        <v>376</v>
      </c>
      <c r="C167" s="177" t="s">
        <v>28</v>
      </c>
      <c r="D167" s="177">
        <f>VLOOKUP(A167,'лыжи мужч 5 км'!$A$8:$I216,9,FALSE)</f>
        <v>74</v>
      </c>
      <c r="E167" s="47"/>
      <c r="F167" s="47"/>
      <c r="G167" s="14"/>
      <c r="H167" s="66"/>
    </row>
    <row r="168" spans="1:8" ht="15.75">
      <c r="A168" s="171">
        <v>215</v>
      </c>
      <c r="B168" s="178" t="s">
        <v>252</v>
      </c>
      <c r="C168" s="178" t="s">
        <v>28</v>
      </c>
      <c r="D168" s="177">
        <f>VLOOKUP(A168,'лыжи мужч 5 км'!$A$8:$I217,9,FALSE)</f>
        <v>0</v>
      </c>
      <c r="E168" s="172"/>
      <c r="F168" s="172"/>
      <c r="G168" s="173"/>
      <c r="H168" s="174"/>
    </row>
    <row r="169" spans="1:8" ht="15.75">
      <c r="A169" s="171"/>
      <c r="B169" s="172" t="s">
        <v>68</v>
      </c>
      <c r="C169" s="178" t="s">
        <v>28</v>
      </c>
      <c r="D169" s="172">
        <f>VLOOKUP(C169,'эстафета лыжи'!$C$8:$F189,4,FALSE)</f>
        <v>128</v>
      </c>
      <c r="E169" s="172"/>
      <c r="F169" s="172"/>
      <c r="G169" s="173"/>
      <c r="H169" s="66"/>
    </row>
    <row r="170" spans="1:8" ht="19.5" thickBot="1">
      <c r="A170" s="170"/>
      <c r="B170" s="99"/>
      <c r="C170" s="99"/>
      <c r="D170" s="99"/>
      <c r="E170" s="99">
        <f>F170*10</f>
        <v>29410</v>
      </c>
      <c r="F170" s="99" t="str">
        <f>G170&amp;COUNTIF($G$9:G170,G170)</f>
        <v>2941</v>
      </c>
      <c r="G170" s="99">
        <f>SUM(D165:D169)</f>
        <v>294</v>
      </c>
      <c r="H170" s="145" t="s">
        <v>28</v>
      </c>
    </row>
    <row r="171" ht="14.25" thickBot="1" thickTop="1"/>
    <row r="172" spans="1:8" ht="17.25" thickBot="1" thickTop="1">
      <c r="A172" s="168">
        <v>1214</v>
      </c>
      <c r="B172" s="140" t="s">
        <v>253</v>
      </c>
      <c r="C172" s="140" t="s">
        <v>27</v>
      </c>
      <c r="D172" s="140">
        <f>VLOOKUP(A172,'лыжи женщ 3 км '!$A$8:$I223,9,FALSE)</f>
        <v>66</v>
      </c>
      <c r="E172" s="139"/>
      <c r="F172" s="139"/>
      <c r="G172" s="141"/>
      <c r="H172" s="142"/>
    </row>
    <row r="173" spans="1:8" ht="16.5" thickTop="1">
      <c r="A173" s="169">
        <v>1205</v>
      </c>
      <c r="B173" s="133" t="s">
        <v>254</v>
      </c>
      <c r="C173" s="133" t="s">
        <v>27</v>
      </c>
      <c r="D173" s="140">
        <f>VLOOKUP(A173,'лыжи женщ 3 км '!$A$8:$I224,9,FALSE)</f>
        <v>62</v>
      </c>
      <c r="E173" s="47"/>
      <c r="F173" s="47"/>
      <c r="G173" s="14"/>
      <c r="H173" s="66"/>
    </row>
    <row r="174" spans="1:8" ht="15.75">
      <c r="A174" s="169">
        <v>1215</v>
      </c>
      <c r="B174" s="177" t="s">
        <v>255</v>
      </c>
      <c r="C174" s="177" t="s">
        <v>27</v>
      </c>
      <c r="D174" s="177">
        <f>VLOOKUP(A174,'лыжи мужч 5 км'!$A$8:$I223,9,FALSE)</f>
        <v>98</v>
      </c>
      <c r="E174" s="47"/>
      <c r="F174" s="47"/>
      <c r="G174" s="14"/>
      <c r="H174" s="66"/>
    </row>
    <row r="175" spans="1:8" ht="15.75">
      <c r="A175" s="171">
        <v>1216</v>
      </c>
      <c r="B175" s="178" t="s">
        <v>256</v>
      </c>
      <c r="C175" s="178" t="s">
        <v>27</v>
      </c>
      <c r="D175" s="177">
        <f>VLOOKUP(A175,'лыжи мужч 5 км'!$A$8:$I224,9,FALSE)</f>
        <v>108</v>
      </c>
      <c r="E175" s="172"/>
      <c r="F175" s="172"/>
      <c r="G175" s="173"/>
      <c r="H175" s="174"/>
    </row>
    <row r="176" spans="1:8" ht="15.75">
      <c r="A176" s="171"/>
      <c r="B176" s="172" t="s">
        <v>68</v>
      </c>
      <c r="C176" s="178" t="s">
        <v>27</v>
      </c>
      <c r="D176" s="172">
        <f>VLOOKUP(C176,'эстафета лыжи'!$C$8:$F196,4,FALSE)</f>
        <v>240</v>
      </c>
      <c r="E176" s="172"/>
      <c r="F176" s="172"/>
      <c r="G176" s="173"/>
      <c r="H176" s="66"/>
    </row>
    <row r="177" spans="1:8" ht="19.5" thickBot="1">
      <c r="A177" s="170"/>
      <c r="B177" s="99"/>
      <c r="C177" s="99"/>
      <c r="D177" s="99"/>
      <c r="E177" s="99">
        <f>F177*10</f>
        <v>57410</v>
      </c>
      <c r="F177" s="99" t="str">
        <f>G177&amp;COUNTIF($G$9:G177,G177)</f>
        <v>5741</v>
      </c>
      <c r="G177" s="99">
        <f>SUM(D172:D176)</f>
        <v>574</v>
      </c>
      <c r="H177" s="145" t="s">
        <v>27</v>
      </c>
    </row>
    <row r="178" ht="14.25" thickBot="1" thickTop="1"/>
    <row r="179" spans="1:8" ht="17.25" thickBot="1" thickTop="1">
      <c r="A179" s="168"/>
      <c r="B179" s="140"/>
      <c r="C179" s="140"/>
      <c r="D179" s="140">
        <v>0</v>
      </c>
      <c r="E179" s="139"/>
      <c r="F179" s="139"/>
      <c r="G179" s="141"/>
      <c r="H179" s="142"/>
    </row>
    <row r="180" spans="1:8" ht="16.5" thickTop="1">
      <c r="A180" s="169">
        <v>3409</v>
      </c>
      <c r="B180" s="133" t="s">
        <v>258</v>
      </c>
      <c r="C180" s="133" t="s">
        <v>10</v>
      </c>
      <c r="D180" s="140">
        <f>VLOOKUP(A180,'лыжи женщ 3 км '!$A$8:$I231,9,FALSE)</f>
        <v>34</v>
      </c>
      <c r="E180" s="47"/>
      <c r="F180" s="47"/>
      <c r="G180" s="14"/>
      <c r="H180" s="66"/>
    </row>
    <row r="181" spans="1:8" ht="15.75">
      <c r="A181" s="169">
        <v>3410</v>
      </c>
      <c r="B181" s="177" t="s">
        <v>257</v>
      </c>
      <c r="C181" s="177" t="s">
        <v>10</v>
      </c>
      <c r="D181" s="177">
        <f>VLOOKUP(A181,'лыжи мужч 5 км'!$A$8:$I230,9,FALSE)</f>
        <v>39</v>
      </c>
      <c r="E181" s="47"/>
      <c r="F181" s="47"/>
      <c r="G181" s="14"/>
      <c r="H181" s="66"/>
    </row>
    <row r="182" spans="1:8" ht="15.75">
      <c r="A182" s="171"/>
      <c r="B182" s="178"/>
      <c r="C182" s="178"/>
      <c r="D182" s="177">
        <v>0</v>
      </c>
      <c r="E182" s="172"/>
      <c r="F182" s="172"/>
      <c r="G182" s="173"/>
      <c r="H182" s="174"/>
    </row>
    <row r="183" spans="1:8" ht="15.75">
      <c r="A183" s="171"/>
      <c r="B183" s="172" t="s">
        <v>68</v>
      </c>
      <c r="C183" s="178" t="s">
        <v>10</v>
      </c>
      <c r="D183" s="172">
        <v>0</v>
      </c>
      <c r="E183" s="172"/>
      <c r="F183" s="172"/>
      <c r="G183" s="173"/>
      <c r="H183" s="66"/>
    </row>
    <row r="184" spans="1:8" ht="19.5" thickBot="1">
      <c r="A184" s="170"/>
      <c r="B184" s="99"/>
      <c r="C184" s="99"/>
      <c r="D184" s="99"/>
      <c r="E184" s="99">
        <f>F184*10</f>
        <v>7310</v>
      </c>
      <c r="F184" s="99" t="str">
        <f>G184&amp;COUNTIF($G$9:G184,G184)</f>
        <v>731</v>
      </c>
      <c r="G184" s="99">
        <f>SUM(D179:D183)</f>
        <v>73</v>
      </c>
      <c r="H184" s="145" t="s">
        <v>10</v>
      </c>
    </row>
    <row r="185" ht="14.25" thickBot="1" thickTop="1"/>
    <row r="186" spans="1:8" ht="17.25" thickBot="1" thickTop="1">
      <c r="A186" s="168">
        <v>3311</v>
      </c>
      <c r="B186" s="140" t="s">
        <v>259</v>
      </c>
      <c r="C186" s="140" t="s">
        <v>21</v>
      </c>
      <c r="D186" s="140">
        <f>VLOOKUP(A186,'лыжи женщ 3 км '!$A$8:$I237,9,FALSE)</f>
        <v>59</v>
      </c>
      <c r="E186" s="139"/>
      <c r="F186" s="139"/>
      <c r="G186" s="141"/>
      <c r="H186" s="142"/>
    </row>
    <row r="187" spans="1:8" ht="16.5" thickTop="1">
      <c r="A187" s="169">
        <v>3310</v>
      </c>
      <c r="B187" s="133" t="s">
        <v>260</v>
      </c>
      <c r="C187" s="133" t="s">
        <v>21</v>
      </c>
      <c r="D187" s="140">
        <f>VLOOKUP(A187,'лыжи женщ 3 км '!$A$8:$I238,9,FALSE)</f>
        <v>51</v>
      </c>
      <c r="E187" s="47"/>
      <c r="F187" s="47"/>
      <c r="G187" s="14"/>
      <c r="H187" s="66"/>
    </row>
    <row r="188" spans="1:8" ht="15.75">
      <c r="A188" s="169">
        <v>3308</v>
      </c>
      <c r="B188" s="177" t="s">
        <v>261</v>
      </c>
      <c r="C188" s="177" t="s">
        <v>21</v>
      </c>
      <c r="D188" s="177">
        <f>VLOOKUP(A188,'лыжи мужч 5 км'!$A$8:$I237,9,FALSE)</f>
        <v>51</v>
      </c>
      <c r="E188" s="47"/>
      <c r="F188" s="47"/>
      <c r="G188" s="14"/>
      <c r="H188" s="66"/>
    </row>
    <row r="189" spans="1:8" ht="15.75">
      <c r="A189" s="171">
        <v>3309</v>
      </c>
      <c r="B189" s="178" t="s">
        <v>262</v>
      </c>
      <c r="C189" s="178" t="s">
        <v>21</v>
      </c>
      <c r="D189" s="177">
        <f>VLOOKUP(A189,'лыжи мужч 5 км'!$A$8:$I238,9,FALSE)</f>
        <v>50</v>
      </c>
      <c r="E189" s="172"/>
      <c r="F189" s="172"/>
      <c r="G189" s="173"/>
      <c r="H189" s="174"/>
    </row>
    <row r="190" spans="1:8" ht="15.75">
      <c r="A190" s="171"/>
      <c r="B190" s="172" t="s">
        <v>68</v>
      </c>
      <c r="C190" s="178" t="s">
        <v>21</v>
      </c>
      <c r="D190" s="172">
        <f>VLOOKUP(C190,'эстафета лыжи'!$C$8:$F210,4,FALSE)</f>
        <v>126</v>
      </c>
      <c r="E190" s="172"/>
      <c r="F190" s="172"/>
      <c r="G190" s="173"/>
      <c r="H190" s="66"/>
    </row>
    <row r="191" spans="1:8" ht="19.5" thickBot="1">
      <c r="A191" s="170"/>
      <c r="B191" s="99"/>
      <c r="C191" s="99"/>
      <c r="D191" s="99"/>
      <c r="E191" s="99">
        <f>F191*10</f>
        <v>33710</v>
      </c>
      <c r="F191" s="99" t="str">
        <f>G191&amp;COUNTIF($G$9:G191,G191)</f>
        <v>3371</v>
      </c>
      <c r="G191" s="99">
        <f>SUM(D186:D190)</f>
        <v>337</v>
      </c>
      <c r="H191" s="145" t="s">
        <v>21</v>
      </c>
    </row>
    <row r="192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4"/>
  <sheetViews>
    <sheetView view="pageBreakPreview" zoomScaleSheetLayoutView="100" zoomScalePageLayoutView="0" workbookViewId="0" topLeftCell="C1">
      <selection activeCell="CS16" sqref="CS16"/>
    </sheetView>
  </sheetViews>
  <sheetFormatPr defaultColWidth="9.140625" defaultRowHeight="12.75"/>
  <cols>
    <col min="2" max="2" width="7.28125" style="0" customWidth="1"/>
    <col min="3" max="3" width="26.421875" style="0" customWidth="1"/>
    <col min="4" max="4" width="23.00390625" style="0" customWidth="1"/>
    <col min="5" max="6" width="9.00390625" style="0" customWidth="1"/>
    <col min="7" max="7" width="8.7109375" style="0" customWidth="1"/>
    <col min="8" max="8" width="7.7109375" style="0" customWidth="1"/>
    <col min="9" max="9" width="6.28125" style="0" customWidth="1"/>
  </cols>
  <sheetData>
    <row r="1" spans="11:90" ht="16.5" thickBot="1">
      <c r="K1" s="28">
        <v>1</v>
      </c>
      <c r="L1" s="28">
        <v>2</v>
      </c>
      <c r="M1" s="28">
        <v>3</v>
      </c>
      <c r="N1" s="28">
        <v>4</v>
      </c>
      <c r="O1" s="28">
        <v>5</v>
      </c>
      <c r="P1" s="28">
        <v>6</v>
      </c>
      <c r="Q1" s="28">
        <v>7</v>
      </c>
      <c r="R1" s="28">
        <v>8</v>
      </c>
      <c r="S1" s="28">
        <v>9</v>
      </c>
      <c r="T1" s="28">
        <v>10</v>
      </c>
      <c r="U1" s="28">
        <v>11</v>
      </c>
      <c r="V1" s="28">
        <v>12</v>
      </c>
      <c r="W1" s="28">
        <v>13</v>
      </c>
      <c r="X1" s="28">
        <v>14</v>
      </c>
      <c r="Y1" s="28">
        <v>15</v>
      </c>
      <c r="Z1" s="28">
        <v>16</v>
      </c>
      <c r="AA1" s="28">
        <v>17</v>
      </c>
      <c r="AB1" s="28">
        <v>18</v>
      </c>
      <c r="AC1" s="28">
        <v>19</v>
      </c>
      <c r="AD1" s="28">
        <v>20</v>
      </c>
      <c r="AE1" s="28">
        <v>21</v>
      </c>
      <c r="AF1" s="28">
        <v>22</v>
      </c>
      <c r="AG1" s="28">
        <v>23</v>
      </c>
      <c r="AH1" s="28">
        <v>24</v>
      </c>
      <c r="AI1" s="28">
        <v>25</v>
      </c>
      <c r="AJ1" s="28">
        <v>26</v>
      </c>
      <c r="AK1" s="28">
        <v>27</v>
      </c>
      <c r="AL1" s="28">
        <v>28</v>
      </c>
      <c r="AM1" s="28">
        <v>29</v>
      </c>
      <c r="AN1" s="28">
        <v>30</v>
      </c>
      <c r="AO1" s="28">
        <v>31</v>
      </c>
      <c r="AP1" s="28">
        <v>32</v>
      </c>
      <c r="AQ1" s="28">
        <v>33</v>
      </c>
      <c r="AR1" s="28">
        <v>34</v>
      </c>
      <c r="AS1" s="28">
        <v>35</v>
      </c>
      <c r="AT1" s="28">
        <v>36</v>
      </c>
      <c r="AU1" s="28">
        <v>37</v>
      </c>
      <c r="AV1" s="28">
        <v>38</v>
      </c>
      <c r="AW1" s="28">
        <v>39</v>
      </c>
      <c r="AX1" s="28">
        <v>40</v>
      </c>
      <c r="AY1" s="28">
        <v>41</v>
      </c>
      <c r="AZ1" s="28">
        <v>42</v>
      </c>
      <c r="BA1" s="28">
        <v>43</v>
      </c>
      <c r="BB1" s="28">
        <v>44</v>
      </c>
      <c r="BC1" s="28">
        <v>45</v>
      </c>
      <c r="BD1" s="28">
        <v>46</v>
      </c>
      <c r="BE1" s="28">
        <v>47</v>
      </c>
      <c r="BF1" s="28">
        <v>48</v>
      </c>
      <c r="BG1" s="28">
        <v>49</v>
      </c>
      <c r="BH1" s="28">
        <v>50</v>
      </c>
      <c r="BI1" s="28">
        <v>51</v>
      </c>
      <c r="BJ1" s="28">
        <v>52</v>
      </c>
      <c r="BK1" s="28">
        <v>53</v>
      </c>
      <c r="BL1" s="28">
        <v>54</v>
      </c>
      <c r="BM1" s="28">
        <v>55</v>
      </c>
      <c r="BN1" s="28">
        <v>56</v>
      </c>
      <c r="BO1" s="28">
        <v>57</v>
      </c>
      <c r="BP1" s="28">
        <v>58</v>
      </c>
      <c r="BQ1" s="28">
        <v>59</v>
      </c>
      <c r="BR1" s="28">
        <v>60</v>
      </c>
      <c r="BS1" s="28">
        <v>61</v>
      </c>
      <c r="BT1" s="28">
        <v>62</v>
      </c>
      <c r="BU1" s="28">
        <v>63</v>
      </c>
      <c r="BV1" s="28">
        <v>64</v>
      </c>
      <c r="BW1" s="28">
        <v>65</v>
      </c>
      <c r="BX1" s="28">
        <v>66</v>
      </c>
      <c r="BY1" s="28">
        <v>67</v>
      </c>
      <c r="BZ1" s="28">
        <v>68</v>
      </c>
      <c r="CA1" s="28">
        <v>69</v>
      </c>
      <c r="CB1" s="28">
        <v>70</v>
      </c>
      <c r="CC1" s="28">
        <v>71</v>
      </c>
      <c r="CD1" s="28">
        <v>72</v>
      </c>
      <c r="CE1" s="28">
        <v>73</v>
      </c>
      <c r="CF1" s="28">
        <v>74</v>
      </c>
      <c r="CG1" s="28">
        <v>75</v>
      </c>
      <c r="CH1" s="28">
        <v>76</v>
      </c>
      <c r="CI1" s="28">
        <v>77</v>
      </c>
      <c r="CJ1" s="28">
        <v>78</v>
      </c>
      <c r="CK1" s="28">
        <v>79</v>
      </c>
      <c r="CL1" s="28">
        <v>80</v>
      </c>
    </row>
    <row r="2" spans="1:90" ht="16.5" thickBot="1">
      <c r="A2" s="306" t="s">
        <v>77</v>
      </c>
      <c r="B2" s="306"/>
      <c r="C2" s="306"/>
      <c r="D2" s="306"/>
      <c r="E2" s="306"/>
      <c r="F2" s="37"/>
      <c r="G2" s="46"/>
      <c r="H2" s="46"/>
      <c r="I2" s="37"/>
      <c r="K2" s="28">
        <v>120</v>
      </c>
      <c r="L2" s="28">
        <v>108</v>
      </c>
      <c r="M2" s="28">
        <v>98</v>
      </c>
      <c r="N2" s="28">
        <v>90</v>
      </c>
      <c r="O2" s="28">
        <v>85</v>
      </c>
      <c r="P2" s="28">
        <v>82</v>
      </c>
      <c r="Q2" s="28">
        <v>79</v>
      </c>
      <c r="R2" s="28">
        <v>76</v>
      </c>
      <c r="S2" s="28">
        <v>74</v>
      </c>
      <c r="T2" s="28">
        <v>72</v>
      </c>
      <c r="U2" s="28">
        <v>70</v>
      </c>
      <c r="V2" s="28">
        <v>69</v>
      </c>
      <c r="W2" s="28">
        <v>68</v>
      </c>
      <c r="X2" s="28">
        <v>67</v>
      </c>
      <c r="Y2" s="28">
        <v>66</v>
      </c>
      <c r="Z2" s="28">
        <v>65</v>
      </c>
      <c r="AA2" s="28">
        <v>64</v>
      </c>
      <c r="AB2" s="28">
        <v>63</v>
      </c>
      <c r="AC2" s="28">
        <v>62</v>
      </c>
      <c r="AD2" s="28">
        <v>61</v>
      </c>
      <c r="AE2" s="28">
        <v>60</v>
      </c>
      <c r="AF2" s="28">
        <v>59</v>
      </c>
      <c r="AG2" s="28">
        <v>58</v>
      </c>
      <c r="AH2" s="28">
        <v>57</v>
      </c>
      <c r="AI2" s="28">
        <v>56</v>
      </c>
      <c r="AJ2" s="28">
        <v>55</v>
      </c>
      <c r="AK2" s="28">
        <v>54</v>
      </c>
      <c r="AL2" s="28">
        <v>53</v>
      </c>
      <c r="AM2" s="28">
        <v>52</v>
      </c>
      <c r="AN2" s="28">
        <v>51</v>
      </c>
      <c r="AO2" s="28">
        <v>50</v>
      </c>
      <c r="AP2" s="28">
        <v>49</v>
      </c>
      <c r="AQ2" s="28">
        <v>48</v>
      </c>
      <c r="AR2" s="28">
        <v>47</v>
      </c>
      <c r="AS2" s="28">
        <v>46</v>
      </c>
      <c r="AT2" s="28">
        <v>45</v>
      </c>
      <c r="AU2" s="28">
        <v>44</v>
      </c>
      <c r="AV2" s="28">
        <v>43</v>
      </c>
      <c r="AW2" s="28">
        <v>42</v>
      </c>
      <c r="AX2" s="28">
        <v>41</v>
      </c>
      <c r="AY2" s="28">
        <v>40</v>
      </c>
      <c r="AZ2" s="28">
        <v>39</v>
      </c>
      <c r="BA2" s="28">
        <v>38</v>
      </c>
      <c r="BB2" s="28">
        <v>37</v>
      </c>
      <c r="BC2" s="28">
        <v>36</v>
      </c>
      <c r="BD2" s="28">
        <v>35</v>
      </c>
      <c r="BE2" s="28">
        <v>34</v>
      </c>
      <c r="BF2" s="28">
        <v>33</v>
      </c>
      <c r="BG2" s="28">
        <v>32</v>
      </c>
      <c r="BH2" s="28">
        <v>31</v>
      </c>
      <c r="BI2" s="28">
        <v>30</v>
      </c>
      <c r="BJ2" s="28">
        <v>29</v>
      </c>
      <c r="BK2" s="28">
        <v>28</v>
      </c>
      <c r="BL2" s="28">
        <v>27</v>
      </c>
      <c r="BM2" s="28">
        <v>26</v>
      </c>
      <c r="BN2" s="28">
        <v>25</v>
      </c>
      <c r="BO2" s="28">
        <v>24</v>
      </c>
      <c r="BP2" s="28">
        <v>23</v>
      </c>
      <c r="BQ2" s="28">
        <v>22</v>
      </c>
      <c r="BR2" s="28">
        <v>21</v>
      </c>
      <c r="BS2" s="28">
        <v>20</v>
      </c>
      <c r="BT2" s="28">
        <v>19</v>
      </c>
      <c r="BU2" s="28">
        <v>18</v>
      </c>
      <c r="BV2" s="28">
        <v>17</v>
      </c>
      <c r="BW2" s="28">
        <v>16</v>
      </c>
      <c r="BX2" s="28">
        <v>15</v>
      </c>
      <c r="BY2" s="28">
        <v>14</v>
      </c>
      <c r="BZ2" s="28">
        <v>13</v>
      </c>
      <c r="CA2" s="28">
        <v>12</v>
      </c>
      <c r="CB2" s="28">
        <v>11</v>
      </c>
      <c r="CC2" s="28">
        <v>10</v>
      </c>
      <c r="CD2" s="28">
        <v>9</v>
      </c>
      <c r="CE2" s="28">
        <v>8</v>
      </c>
      <c r="CF2" s="28">
        <v>7</v>
      </c>
      <c r="CG2" s="28">
        <v>6</v>
      </c>
      <c r="CH2" s="28">
        <v>5</v>
      </c>
      <c r="CI2" s="28">
        <v>4</v>
      </c>
      <c r="CJ2" s="28">
        <v>3</v>
      </c>
      <c r="CK2" s="28">
        <v>2</v>
      </c>
      <c r="CL2" s="28">
        <v>1</v>
      </c>
    </row>
    <row r="3" spans="11:12" ht="15.75">
      <c r="K3" s="84"/>
      <c r="L3" s="5"/>
    </row>
    <row r="4" spans="1:12" ht="26.25" customHeight="1">
      <c r="A4" s="307" t="s">
        <v>78</v>
      </c>
      <c r="B4" s="307"/>
      <c r="C4" s="307"/>
      <c r="D4" s="307"/>
      <c r="E4" s="307"/>
      <c r="F4" s="124"/>
      <c r="G4" s="46"/>
      <c r="H4" s="46"/>
      <c r="I4" s="4"/>
      <c r="K4" s="84"/>
      <c r="L4" s="5"/>
    </row>
    <row r="5" spans="1:12" ht="23.25" customHeight="1" thickBot="1">
      <c r="A5" s="308" t="s">
        <v>82</v>
      </c>
      <c r="B5" s="308"/>
      <c r="C5" s="308"/>
      <c r="D5" s="308"/>
      <c r="E5" s="308"/>
      <c r="F5" s="125"/>
      <c r="G5" s="94"/>
      <c r="H5" s="94"/>
      <c r="I5" s="38"/>
      <c r="K5" s="84"/>
      <c r="L5" s="5"/>
    </row>
    <row r="6" spans="1:12" ht="18" customHeight="1">
      <c r="A6" s="315" t="s">
        <v>33</v>
      </c>
      <c r="B6" s="97" t="s">
        <v>12</v>
      </c>
      <c r="C6" s="317" t="s">
        <v>34</v>
      </c>
      <c r="D6" s="311" t="s">
        <v>35</v>
      </c>
      <c r="E6" s="319" t="s">
        <v>79</v>
      </c>
      <c r="F6" s="319" t="s">
        <v>80</v>
      </c>
      <c r="G6" s="313" t="s">
        <v>47</v>
      </c>
      <c r="H6" s="86"/>
      <c r="I6" s="309" t="s">
        <v>31</v>
      </c>
      <c r="K6" s="84"/>
      <c r="L6" s="5"/>
    </row>
    <row r="7" spans="1:12" ht="13.5" customHeight="1" thickBot="1">
      <c r="A7" s="316"/>
      <c r="B7" s="92"/>
      <c r="C7" s="318"/>
      <c r="D7" s="312"/>
      <c r="E7" s="320"/>
      <c r="F7" s="320"/>
      <c r="G7" s="314"/>
      <c r="H7" s="126" t="s">
        <v>7</v>
      </c>
      <c r="I7" s="310"/>
      <c r="K7" s="84"/>
      <c r="L7" s="5"/>
    </row>
    <row r="8" spans="1:12" s="12" customFormat="1" ht="16.5" thickBot="1">
      <c r="A8" s="266">
        <v>2511</v>
      </c>
      <c r="B8" s="29">
        <v>39</v>
      </c>
      <c r="C8" s="96" t="str">
        <f>VLOOKUP(A8,'лыжи командная и база'!$A$4:$C285,2,FALSE)</f>
        <v>Рябцева А.</v>
      </c>
      <c r="D8" s="96" t="str">
        <f>VLOOKUP(A8,'лыжи командная и база'!$A$4:$C285,3,FALSE)</f>
        <v>Никольский</v>
      </c>
      <c r="E8" s="186">
        <v>0.02136574074074074</v>
      </c>
      <c r="F8" s="185">
        <v>0.0131944444444444</v>
      </c>
      <c r="G8" s="186">
        <f aca="true" t="shared" si="0" ref="G8:G39">E8-F8</f>
        <v>0.008171296296296341</v>
      </c>
      <c r="H8" s="98">
        <v>1</v>
      </c>
      <c r="I8" s="11">
        <f aca="true" t="shared" si="1" ref="I8:I61">LOOKUP(H8,$K$1:$CL$1,$K$2:$CL$2)</f>
        <v>120</v>
      </c>
      <c r="K8" s="84"/>
      <c r="L8" s="85"/>
    </row>
    <row r="9" spans="1:12" s="12" customFormat="1" ht="16.5" thickBot="1">
      <c r="A9" s="267">
        <v>1614</v>
      </c>
      <c r="B9" s="95">
        <v>29</v>
      </c>
      <c r="C9" s="96" t="str">
        <f>VLOOKUP(A9,'лыжи командная и база'!$A$4:$C275,2,FALSE)</f>
        <v>Шатилова Александра</v>
      </c>
      <c r="D9" s="96" t="str">
        <f>VLOOKUP(A9,'лыжи командная и база'!$A$4:$C275,3,FALSE)</f>
        <v>Башмаковский</v>
      </c>
      <c r="E9" s="186">
        <v>0.018831018518518518</v>
      </c>
      <c r="F9" s="185">
        <v>0.00972222222222222</v>
      </c>
      <c r="G9" s="186">
        <f t="shared" si="0"/>
        <v>0.009108796296296297</v>
      </c>
      <c r="H9" s="98">
        <v>2</v>
      </c>
      <c r="I9" s="11">
        <f t="shared" si="1"/>
        <v>108</v>
      </c>
      <c r="K9" s="84"/>
      <c r="L9" s="85"/>
    </row>
    <row r="10" spans="1:12" s="12" customFormat="1" ht="16.5" thickBot="1">
      <c r="A10" s="203">
        <v>101</v>
      </c>
      <c r="B10" s="29">
        <v>2</v>
      </c>
      <c r="C10" s="96" t="str">
        <f>VLOOKUP(A10,'лыжи командная и база'!$A$4:$C151,2,FALSE)</f>
        <v>Андрюшкина Юля</v>
      </c>
      <c r="D10" s="96" t="str">
        <f>VLOOKUP(A10,'лыжи командная и база'!$A$4:$C151,3,FALSE)</f>
        <v>Белинский</v>
      </c>
      <c r="E10" s="186">
        <v>0.009525462962962963</v>
      </c>
      <c r="F10" s="185">
        <v>0.00034722222222222224</v>
      </c>
      <c r="G10" s="186">
        <f t="shared" si="0"/>
        <v>0.00917824074074074</v>
      </c>
      <c r="H10" s="98">
        <v>3</v>
      </c>
      <c r="I10" s="11">
        <f t="shared" si="1"/>
        <v>98</v>
      </c>
      <c r="K10" s="84"/>
      <c r="L10" s="85"/>
    </row>
    <row r="11" spans="1:12" s="12" customFormat="1" ht="16.5" thickBot="1">
      <c r="A11" s="267">
        <v>102</v>
      </c>
      <c r="B11" s="95">
        <v>3</v>
      </c>
      <c r="C11" s="96" t="str">
        <f>VLOOKUP(A11,'лыжи командная и база'!$A$4:$C152,2,FALSE)</f>
        <v>Почевалова Мария</v>
      </c>
      <c r="D11" s="96" t="str">
        <f>VLOOKUP(A11,'лыжи командная и база'!$A$4:$C152,3,FALSE)</f>
        <v>Белинский</v>
      </c>
      <c r="E11" s="186">
        <v>0.009953703703703704</v>
      </c>
      <c r="F11" s="185">
        <v>0.0006944444444444445</v>
      </c>
      <c r="G11" s="186">
        <f t="shared" si="0"/>
        <v>0.00925925925925926</v>
      </c>
      <c r="H11" s="98">
        <v>4</v>
      </c>
      <c r="I11" s="11">
        <f t="shared" si="1"/>
        <v>90</v>
      </c>
      <c r="K11" s="84"/>
      <c r="L11" s="85"/>
    </row>
    <row r="12" spans="1:12" s="12" customFormat="1" ht="16.5" thickBot="1">
      <c r="A12" s="266">
        <v>2803</v>
      </c>
      <c r="B12" s="29">
        <v>42</v>
      </c>
      <c r="C12" s="96" t="str">
        <f>VLOOKUP(A12,'лыжи командная и база'!$A$4:$C288,2,FALSE)</f>
        <v>Вольф Ольга</v>
      </c>
      <c r="D12" s="96" t="str">
        <f>VLOOKUP(A12,'лыжи командная и база'!$A$4:$C288,3,FALSE)</f>
        <v>Тамалинский</v>
      </c>
      <c r="E12" s="186">
        <v>0.023668981481481485</v>
      </c>
      <c r="F12" s="185">
        <v>0.0142361111111111</v>
      </c>
      <c r="G12" s="186">
        <f t="shared" si="0"/>
        <v>0.009432870370370385</v>
      </c>
      <c r="H12" s="98">
        <v>5</v>
      </c>
      <c r="I12" s="11">
        <f t="shared" si="1"/>
        <v>85</v>
      </c>
      <c r="K12" s="84"/>
      <c r="L12" s="85"/>
    </row>
    <row r="13" spans="1:12" s="12" customFormat="1" ht="16.5" thickBot="1">
      <c r="A13" s="266">
        <v>2011</v>
      </c>
      <c r="B13" s="95">
        <v>33</v>
      </c>
      <c r="C13" s="96" t="str">
        <f>VLOOKUP(A13,'лыжи командная и база'!$A$4:$C279,2,FALSE)</f>
        <v>Преснякова Наталья</v>
      </c>
      <c r="D13" s="96" t="str">
        <f>VLOOKUP(A13,'лыжи командная и база'!$A$4:$C279,3,FALSE)</f>
        <v>Городищенский</v>
      </c>
      <c r="E13" s="186">
        <v>0.020555555555555556</v>
      </c>
      <c r="F13" s="185">
        <v>0.0111111111111111</v>
      </c>
      <c r="G13" s="186">
        <f t="shared" si="0"/>
        <v>0.009444444444444457</v>
      </c>
      <c r="H13" s="98">
        <v>6</v>
      </c>
      <c r="I13" s="11">
        <f t="shared" si="1"/>
        <v>82</v>
      </c>
      <c r="K13" s="84"/>
      <c r="L13" s="85"/>
    </row>
    <row r="14" spans="1:12" s="12" customFormat="1" ht="16.5" thickBot="1">
      <c r="A14" s="266">
        <v>3207</v>
      </c>
      <c r="B14" s="29">
        <v>55</v>
      </c>
      <c r="C14" s="96" t="s">
        <v>375</v>
      </c>
      <c r="D14" s="96"/>
      <c r="E14" s="235">
        <v>0.02826388888888889</v>
      </c>
      <c r="F14" s="185">
        <v>0.0187500000000001</v>
      </c>
      <c r="G14" s="186">
        <f t="shared" si="0"/>
        <v>0.00951388888888879</v>
      </c>
      <c r="H14" s="98">
        <v>7</v>
      </c>
      <c r="I14" s="11">
        <f t="shared" si="1"/>
        <v>79</v>
      </c>
      <c r="K14" s="84"/>
      <c r="L14" s="85"/>
    </row>
    <row r="15" spans="1:12" s="12" customFormat="1" ht="16.5" thickBot="1">
      <c r="A15" s="266">
        <v>3206</v>
      </c>
      <c r="B15" s="95">
        <v>51</v>
      </c>
      <c r="C15" s="96" t="str">
        <f>VLOOKUP(A15,'лыжи командная и база'!$A$4:$C297,2,FALSE)</f>
        <v>Асташкина Катя</v>
      </c>
      <c r="D15" s="96" t="str">
        <f>VLOOKUP(A15,'лыжи командная и база'!$A$4:$C297,3,FALSE)</f>
        <v>Пензенский</v>
      </c>
      <c r="E15" s="186">
        <v>0.026875</v>
      </c>
      <c r="F15" s="185">
        <v>0.0173611111111111</v>
      </c>
      <c r="G15" s="186">
        <f t="shared" si="0"/>
        <v>0.009513888888888898</v>
      </c>
      <c r="H15" s="98">
        <v>8</v>
      </c>
      <c r="I15" s="11">
        <f t="shared" si="1"/>
        <v>76</v>
      </c>
      <c r="K15" s="84"/>
      <c r="L15" s="85"/>
    </row>
    <row r="16" spans="1:12" s="12" customFormat="1" ht="16.5" thickBot="1">
      <c r="A16" s="266">
        <v>3103</v>
      </c>
      <c r="B16" s="29">
        <v>48</v>
      </c>
      <c r="C16" s="96" t="str">
        <f>VLOOKUP(A16,'лыжи командная и база'!$A$4:$C294,2,FALSE)</f>
        <v>Домрачева Юлия</v>
      </c>
      <c r="D16" s="96" t="str">
        <f>VLOOKUP(A16,'лыжи командная и база'!$A$4:$C294,3,FALSE)</f>
        <v>Бессоновский</v>
      </c>
      <c r="E16" s="186">
        <v>0.025879629629629627</v>
      </c>
      <c r="F16" s="185">
        <v>0.0163194444444444</v>
      </c>
      <c r="G16" s="186">
        <f t="shared" si="0"/>
        <v>0.009560185185185227</v>
      </c>
      <c r="H16" s="98">
        <v>9</v>
      </c>
      <c r="I16" s="11">
        <f t="shared" si="1"/>
        <v>74</v>
      </c>
      <c r="K16" s="84"/>
      <c r="L16" s="85"/>
    </row>
    <row r="17" spans="1:12" s="12" customFormat="1" ht="16.5" thickBot="1">
      <c r="A17" s="266">
        <v>2804</v>
      </c>
      <c r="B17" s="95">
        <v>43</v>
      </c>
      <c r="C17" s="96" t="str">
        <f>VLOOKUP(A17,'лыжи командная и база'!$A$4:$C289,2,FALSE)</f>
        <v>Дружкова Людмила</v>
      </c>
      <c r="D17" s="96" t="str">
        <f>VLOOKUP(A17,'лыжи командная и база'!$A$4:$C289,3,FALSE)</f>
        <v>Тамалинский</v>
      </c>
      <c r="E17" s="186">
        <v>0.024189814814814817</v>
      </c>
      <c r="F17" s="185">
        <v>0.0145833333333333</v>
      </c>
      <c r="G17" s="186">
        <f t="shared" si="0"/>
        <v>0.009606481481481516</v>
      </c>
      <c r="H17" s="98">
        <v>10</v>
      </c>
      <c r="I17" s="11">
        <f t="shared" si="1"/>
        <v>72</v>
      </c>
      <c r="K17" s="84"/>
      <c r="L17" s="85"/>
    </row>
    <row r="18" spans="1:12" s="12" customFormat="1" ht="16.5" thickBot="1">
      <c r="A18" s="266">
        <v>2202</v>
      </c>
      <c r="B18" s="29">
        <v>34</v>
      </c>
      <c r="C18" s="96" t="str">
        <f>VLOOKUP(A18,'лыжи командная и база'!$A$4:$C280,2,FALSE)</f>
        <v>Медянцева Ярослава</v>
      </c>
      <c r="D18" s="96" t="str">
        <f>VLOOKUP(A18,'лыжи командная и база'!$A$4:$C280,3,FALSE)</f>
        <v>Мокшанский</v>
      </c>
      <c r="E18" s="186">
        <v>0.021238425925925924</v>
      </c>
      <c r="F18" s="185">
        <v>0.0114583333333333</v>
      </c>
      <c r="G18" s="186">
        <f t="shared" si="0"/>
        <v>0.009780092592592625</v>
      </c>
      <c r="H18" s="98">
        <v>11</v>
      </c>
      <c r="I18" s="11">
        <f t="shared" si="1"/>
        <v>70</v>
      </c>
      <c r="K18" s="84"/>
      <c r="L18" s="85"/>
    </row>
    <row r="19" spans="1:12" s="12" customFormat="1" ht="16.5" thickBot="1">
      <c r="A19" s="267">
        <v>1604</v>
      </c>
      <c r="B19" s="95">
        <v>28</v>
      </c>
      <c r="C19" s="96" t="str">
        <f>VLOOKUP(A19,'лыжи командная и база'!$A$4:$C274,2,FALSE)</f>
        <v>Гонцова Мария</v>
      </c>
      <c r="D19" s="96" t="str">
        <f>VLOOKUP(A19,'лыжи командная и база'!$A$4:$C274,3,FALSE)</f>
        <v>Башмаковский</v>
      </c>
      <c r="E19" s="186">
        <v>0.019212962962962963</v>
      </c>
      <c r="F19" s="185">
        <v>0.009375</v>
      </c>
      <c r="G19" s="186">
        <f t="shared" si="0"/>
        <v>0.009837962962962963</v>
      </c>
      <c r="H19" s="98">
        <v>12</v>
      </c>
      <c r="I19" s="11">
        <f t="shared" si="1"/>
        <v>69</v>
      </c>
      <c r="K19" s="84"/>
      <c r="L19" s="85"/>
    </row>
    <row r="20" spans="1:12" s="12" customFormat="1" ht="16.5" thickBot="1">
      <c r="A20" s="266">
        <v>2611</v>
      </c>
      <c r="B20" s="29">
        <v>41</v>
      </c>
      <c r="C20" s="96" t="str">
        <f>VLOOKUP(A20,'лыжи командная и база'!$A$4:$C287,2,FALSE)</f>
        <v>Тажетдинова Лилия</v>
      </c>
      <c r="D20" s="96" t="str">
        <f>VLOOKUP(A20,'лыжи командная и база'!$A$4:$C287,3,FALSE)</f>
        <v>Лопатинский</v>
      </c>
      <c r="E20" s="186">
        <v>0.023796296296296298</v>
      </c>
      <c r="F20" s="185">
        <v>0.0138888888888889</v>
      </c>
      <c r="G20" s="186">
        <f t="shared" si="0"/>
        <v>0.009907407407407398</v>
      </c>
      <c r="H20" s="98">
        <v>13</v>
      </c>
      <c r="I20" s="11">
        <f t="shared" si="1"/>
        <v>68</v>
      </c>
      <c r="K20" s="84"/>
      <c r="L20" s="85"/>
    </row>
    <row r="21" spans="1:12" ht="16.5" thickBot="1">
      <c r="A21" s="266">
        <v>2510</v>
      </c>
      <c r="B21" s="95">
        <v>38</v>
      </c>
      <c r="C21" s="96" t="str">
        <f>VLOOKUP(A21,'лыжи командная и база'!$A$4:$C284,2,FALSE)</f>
        <v>Романова Ю.</v>
      </c>
      <c r="D21" s="96" t="str">
        <f>VLOOKUP(A21,'лыжи командная и база'!$A$4:$C284,3,FALSE)</f>
        <v>Никольский</v>
      </c>
      <c r="E21" s="186">
        <v>0.022858796296296294</v>
      </c>
      <c r="F21" s="185">
        <v>0.0128472222222222</v>
      </c>
      <c r="G21" s="186">
        <f t="shared" si="0"/>
        <v>0.010011574074074093</v>
      </c>
      <c r="H21" s="98">
        <v>14</v>
      </c>
      <c r="I21" s="11">
        <f t="shared" si="1"/>
        <v>67</v>
      </c>
      <c r="K21" s="84"/>
      <c r="L21" s="5"/>
    </row>
    <row r="22" spans="1:12" ht="16.5" thickBot="1">
      <c r="A22" s="267">
        <v>1214</v>
      </c>
      <c r="B22" s="29">
        <v>21</v>
      </c>
      <c r="C22" s="96" t="str">
        <f>VLOOKUP(A22,'лыжи командная и база'!$A$4:$C267,2,FALSE)</f>
        <v>Кувшинова Е.</v>
      </c>
      <c r="D22" s="96" t="str">
        <f>VLOOKUP(A22,'лыжи командная и база'!$A$4:$C267,3,FALSE)</f>
        <v>Неверкинский</v>
      </c>
      <c r="E22" s="186">
        <v>0.01704861111111111</v>
      </c>
      <c r="F22" s="185">
        <v>0.00694444444444444</v>
      </c>
      <c r="G22" s="186">
        <f t="shared" si="0"/>
        <v>0.010104166666666671</v>
      </c>
      <c r="H22" s="98">
        <v>15</v>
      </c>
      <c r="I22" s="11">
        <f t="shared" si="1"/>
        <v>66</v>
      </c>
      <c r="K22" s="84"/>
      <c r="L22" s="5"/>
    </row>
    <row r="23" spans="1:12" ht="16.5" thickBot="1">
      <c r="A23" s="266">
        <v>2207</v>
      </c>
      <c r="B23" s="95">
        <v>35</v>
      </c>
      <c r="C23" s="96" t="str">
        <f>VLOOKUP(A23,'лыжи командная и база'!$A$4:$C281,2,FALSE)</f>
        <v>Масленникова Дарья</v>
      </c>
      <c r="D23" s="96" t="str">
        <f>VLOOKUP(A23,'лыжи командная и база'!$A$4:$C281,3,FALSE)</f>
        <v>Мокшанский</v>
      </c>
      <c r="E23" s="186">
        <v>0.021921296296296296</v>
      </c>
      <c r="F23" s="185">
        <v>0.0118055555555555</v>
      </c>
      <c r="G23" s="186">
        <f t="shared" si="0"/>
        <v>0.010115740740740797</v>
      </c>
      <c r="H23" s="98">
        <v>16</v>
      </c>
      <c r="I23" s="11">
        <f t="shared" si="1"/>
        <v>65</v>
      </c>
      <c r="K23" s="84"/>
      <c r="L23" s="5"/>
    </row>
    <row r="24" spans="1:12" ht="16.5" thickBot="1">
      <c r="A24" s="266">
        <v>3205</v>
      </c>
      <c r="B24" s="29">
        <v>50</v>
      </c>
      <c r="C24" s="96" t="str">
        <f>VLOOKUP(A24,'лыжи командная и база'!$A$4:$C296,2,FALSE)</f>
        <v>Царапкина Кристина</v>
      </c>
      <c r="D24" s="96" t="str">
        <f>VLOOKUP(A24,'лыжи командная и база'!$A$4:$C296,3,FALSE)</f>
        <v>Пензенский</v>
      </c>
      <c r="E24" s="186">
        <v>0.027395833333333338</v>
      </c>
      <c r="F24" s="185">
        <v>0.0170138888888889</v>
      </c>
      <c r="G24" s="186">
        <f t="shared" si="0"/>
        <v>0.010381944444444437</v>
      </c>
      <c r="H24" s="98">
        <v>17</v>
      </c>
      <c r="I24" s="11">
        <f t="shared" si="1"/>
        <v>64</v>
      </c>
      <c r="K24" s="84"/>
      <c r="L24" s="5"/>
    </row>
    <row r="25" spans="1:12" ht="16.5" thickBot="1">
      <c r="A25" s="266">
        <v>2908</v>
      </c>
      <c r="B25" s="95">
        <v>57</v>
      </c>
      <c r="C25" s="96" t="str">
        <f>VLOOKUP(A25,'лыжи командная и база'!$A$4:$C184,2,FALSE)</f>
        <v>Колупанова Наталья</v>
      </c>
      <c r="D25" s="96" t="str">
        <f>VLOOKUP(A25,'лыжи командная и база'!$A$4:$C184,3,FALSE)</f>
        <v>Вадинский</v>
      </c>
      <c r="E25" s="235">
        <v>0.029479166666666667</v>
      </c>
      <c r="F25" s="185">
        <v>0.01909722222222222</v>
      </c>
      <c r="G25" s="186">
        <f t="shared" si="0"/>
        <v>0.010381944444444447</v>
      </c>
      <c r="H25" s="98">
        <v>18</v>
      </c>
      <c r="I25" s="11">
        <f t="shared" si="1"/>
        <v>63</v>
      </c>
      <c r="K25" s="84"/>
      <c r="L25" s="5"/>
    </row>
    <row r="26" spans="1:12" ht="16.5" thickBot="1">
      <c r="A26" s="203">
        <v>1205</v>
      </c>
      <c r="B26" s="29">
        <v>20</v>
      </c>
      <c r="C26" s="96" t="str">
        <f>VLOOKUP(A26,'лыжи командная и база'!$A$4:$C266,2,FALSE)</f>
        <v>Сергеева А.</v>
      </c>
      <c r="D26" s="96" t="str">
        <f>VLOOKUP(A26,'лыжи командная и база'!$A$4:$C266,3,FALSE)</f>
        <v>Неверкинский</v>
      </c>
      <c r="E26" s="186">
        <v>0.017013888888888887</v>
      </c>
      <c r="F26" s="185">
        <v>0.00659722222222222</v>
      </c>
      <c r="G26" s="186">
        <f t="shared" si="0"/>
        <v>0.010416666666666668</v>
      </c>
      <c r="H26" s="98">
        <v>19</v>
      </c>
      <c r="I26" s="11">
        <f t="shared" si="1"/>
        <v>62</v>
      </c>
      <c r="K26" s="84"/>
      <c r="L26" s="5"/>
    </row>
    <row r="27" spans="1:12" ht="16.5" thickBot="1">
      <c r="A27" s="266">
        <v>2603</v>
      </c>
      <c r="B27" s="95">
        <v>40</v>
      </c>
      <c r="C27" s="96" t="str">
        <f>VLOOKUP(A27,'лыжи командная и база'!$A$4:$C286,2,FALSE)</f>
        <v>Игнашкина Олеся</v>
      </c>
      <c r="D27" s="96" t="str">
        <f>VLOOKUP(A27,'лыжи командная и база'!$A$4:$C286,3,FALSE)</f>
        <v>Лопатинский</v>
      </c>
      <c r="E27" s="186">
        <v>0.02414351851851852</v>
      </c>
      <c r="F27" s="185">
        <v>0.0135416666666666</v>
      </c>
      <c r="G27" s="186">
        <f t="shared" si="0"/>
        <v>0.01060185185185192</v>
      </c>
      <c r="H27" s="98">
        <v>20</v>
      </c>
      <c r="I27" s="11">
        <f t="shared" si="1"/>
        <v>61</v>
      </c>
      <c r="K27" s="84"/>
      <c r="L27" s="5"/>
    </row>
    <row r="28" spans="1:12" ht="16.5" thickBot="1">
      <c r="A28" s="203">
        <v>809</v>
      </c>
      <c r="B28" s="29">
        <v>16</v>
      </c>
      <c r="C28" s="96" t="str">
        <f>VLOOKUP(A28,'лыжи командная и база'!$A$4:$C262,2,FALSE)</f>
        <v>Горшкова Елена</v>
      </c>
      <c r="D28" s="96" t="str">
        <f>VLOOKUP(A28,'лыжи командная и база'!$A$4:$C262,3,FALSE)</f>
        <v>Сердобский</v>
      </c>
      <c r="E28" s="186">
        <v>0.016261574074074074</v>
      </c>
      <c r="F28" s="185">
        <v>0.00520833333333333</v>
      </c>
      <c r="G28" s="186">
        <f t="shared" si="0"/>
        <v>0.011053240740740745</v>
      </c>
      <c r="H28" s="98">
        <v>21</v>
      </c>
      <c r="I28" s="11">
        <f t="shared" si="1"/>
        <v>60</v>
      </c>
      <c r="K28" s="84"/>
      <c r="L28" s="5"/>
    </row>
    <row r="29" spans="1:12" ht="16.5" thickBot="1">
      <c r="A29" s="266">
        <v>3311</v>
      </c>
      <c r="B29" s="95">
        <v>53</v>
      </c>
      <c r="C29" s="96" t="str">
        <f>VLOOKUP(A29,'лыжи командная и база'!$A$4:$C299,2,FALSE)</f>
        <v>Вишнякова Наталья</v>
      </c>
      <c r="D29" s="96" t="str">
        <f>VLOOKUP(A29,'лыжи командная и база'!$A$4:$C299,3,FALSE)</f>
        <v>Шемышейский</v>
      </c>
      <c r="E29" s="186">
        <v>0.029270833333333333</v>
      </c>
      <c r="F29" s="185">
        <v>0.0180555555555555</v>
      </c>
      <c r="G29" s="186">
        <f t="shared" si="0"/>
        <v>0.011215277777777834</v>
      </c>
      <c r="H29" s="98">
        <v>22</v>
      </c>
      <c r="I29" s="11">
        <f t="shared" si="1"/>
        <v>59</v>
      </c>
      <c r="K29" s="84"/>
      <c r="L29" s="5"/>
    </row>
    <row r="30" spans="1:12" ht="16.5" thickBot="1">
      <c r="A30" s="203">
        <v>1305</v>
      </c>
      <c r="B30" s="29">
        <v>23</v>
      </c>
      <c r="C30" s="96" t="str">
        <f>VLOOKUP(A30,'лыжи командная и база'!$A$4:$C269,2,FALSE)</f>
        <v>Струева Алена</v>
      </c>
      <c r="D30" s="96" t="str">
        <f>VLOOKUP(A30,'лыжи командная и база'!$A$4:$C269,3,FALSE)</f>
        <v>Пачелмский</v>
      </c>
      <c r="E30" s="186">
        <v>0.01898148148148148</v>
      </c>
      <c r="F30" s="185">
        <v>0.00763888888888889</v>
      </c>
      <c r="G30" s="186">
        <f t="shared" si="0"/>
        <v>0.011342592592592592</v>
      </c>
      <c r="H30" s="98">
        <v>23</v>
      </c>
      <c r="I30" s="11">
        <f t="shared" si="1"/>
        <v>58</v>
      </c>
      <c r="K30" s="84"/>
      <c r="L30" s="5"/>
    </row>
    <row r="31" spans="1:12" ht="16.5" thickBot="1">
      <c r="A31" s="267">
        <v>1507</v>
      </c>
      <c r="B31" s="95">
        <v>26</v>
      </c>
      <c r="C31" s="96" t="str">
        <f>VLOOKUP(A31,'лыжи командная и база'!$A$4:$C272,2,FALSE)</f>
        <v>Дыченко Анна</v>
      </c>
      <c r="D31" s="96" t="str">
        <f>VLOOKUP(A31,'лыжи командная и база'!$A$4:$C272,3,FALSE)</f>
        <v>Нижнеломовский</v>
      </c>
      <c r="E31" s="186">
        <v>0.020196759259259258</v>
      </c>
      <c r="F31" s="185">
        <v>0.00868055555555555</v>
      </c>
      <c r="G31" s="186">
        <f t="shared" si="0"/>
        <v>0.011516203703703707</v>
      </c>
      <c r="H31" s="98">
        <v>24</v>
      </c>
      <c r="I31" s="11">
        <f t="shared" si="1"/>
        <v>57</v>
      </c>
      <c r="K31" s="84"/>
      <c r="L31" s="5"/>
    </row>
    <row r="32" spans="1:12" ht="16.5" thickBot="1">
      <c r="A32" s="266">
        <v>2008</v>
      </c>
      <c r="B32" s="29">
        <v>32</v>
      </c>
      <c r="C32" s="96" t="str">
        <f>VLOOKUP(A32,'лыжи командная и база'!$A$4:$C278,2,FALSE)</f>
        <v>Преснякова Инна</v>
      </c>
      <c r="D32" s="96" t="str">
        <f>VLOOKUP(A32,'лыжи командная и база'!$A$4:$C278,3,FALSE)</f>
        <v>Городищенский</v>
      </c>
      <c r="E32" s="186">
        <v>0.022569444444444444</v>
      </c>
      <c r="F32" s="185">
        <v>0.0107638888888889</v>
      </c>
      <c r="G32" s="186">
        <f t="shared" si="0"/>
        <v>0.011805555555555545</v>
      </c>
      <c r="H32" s="98">
        <v>25</v>
      </c>
      <c r="I32" s="11">
        <f t="shared" si="1"/>
        <v>56</v>
      </c>
      <c r="K32" s="84"/>
      <c r="L32" s="5"/>
    </row>
    <row r="33" spans="1:12" ht="16.5" thickBot="1">
      <c r="A33" s="267">
        <v>811</v>
      </c>
      <c r="B33" s="95">
        <v>17</v>
      </c>
      <c r="C33" s="96" t="str">
        <f>VLOOKUP(A33,'лыжи командная и база'!$A$4:$C263,2,FALSE)</f>
        <v>Щеглова Анна</v>
      </c>
      <c r="D33" s="96" t="str">
        <f>VLOOKUP(A33,'лыжи командная и база'!$A$4:$C263,3,FALSE)</f>
        <v>Сердобский</v>
      </c>
      <c r="E33" s="186">
        <v>0.017361111111111112</v>
      </c>
      <c r="F33" s="185">
        <v>0.00555555555555555</v>
      </c>
      <c r="G33" s="186">
        <f t="shared" si="0"/>
        <v>0.011805555555555562</v>
      </c>
      <c r="H33" s="98">
        <v>26</v>
      </c>
      <c r="I33" s="11">
        <f t="shared" si="1"/>
        <v>55</v>
      </c>
      <c r="K33" s="84"/>
      <c r="L33" s="5"/>
    </row>
    <row r="34" spans="1:12" ht="16.5" thickBot="1">
      <c r="A34" s="266">
        <v>1704</v>
      </c>
      <c r="B34" s="29">
        <v>30</v>
      </c>
      <c r="C34" s="96" t="str">
        <f>VLOOKUP(A34,'лыжи командная и база'!$A$4:$C276,2,FALSE)</f>
        <v>Синицина Надежда</v>
      </c>
      <c r="D34" s="96" t="str">
        <f>VLOOKUP(A34,'лыжи командная и база'!$A$4:$C276,3,FALSE)</f>
        <v>Каменский</v>
      </c>
      <c r="E34" s="186">
        <v>0.02199074074074074</v>
      </c>
      <c r="F34" s="185">
        <v>0.0100694444444444</v>
      </c>
      <c r="G34" s="186">
        <f t="shared" si="0"/>
        <v>0.011921296296296341</v>
      </c>
      <c r="H34" s="98">
        <v>27</v>
      </c>
      <c r="I34" s="11">
        <f t="shared" si="1"/>
        <v>54</v>
      </c>
      <c r="K34" s="84"/>
      <c r="L34" s="5"/>
    </row>
    <row r="35" spans="1:12" ht="16.5" thickBot="1">
      <c r="A35" s="267">
        <v>407</v>
      </c>
      <c r="B35" s="95">
        <v>9</v>
      </c>
      <c r="C35" s="96" t="str">
        <f>VLOOKUP(A35,'лыжи командная и база'!$A$4:$C255,2,FALSE)</f>
        <v>Линькова Юлия</v>
      </c>
      <c r="D35" s="96" t="str">
        <f>VLOOKUP(A35,'лыжи командная и база'!$A$4:$C255,3,FALSE)</f>
        <v>Кузнецкий</v>
      </c>
      <c r="E35" s="186">
        <v>0.014722222222222222</v>
      </c>
      <c r="F35" s="185">
        <v>0.00277777777777778</v>
      </c>
      <c r="G35" s="186">
        <f t="shared" si="0"/>
        <v>0.011944444444444442</v>
      </c>
      <c r="H35" s="98">
        <v>28</v>
      </c>
      <c r="I35" s="11">
        <f t="shared" si="1"/>
        <v>53</v>
      </c>
      <c r="K35" s="84"/>
      <c r="L35" s="5"/>
    </row>
    <row r="36" spans="1:9" ht="16.5" thickBot="1">
      <c r="A36" s="266">
        <v>3101</v>
      </c>
      <c r="B36" s="29">
        <v>49</v>
      </c>
      <c r="C36" s="96" t="str">
        <f>VLOOKUP(A36,'лыжи командная и база'!$A$4:$C295,2,FALSE)</f>
        <v>Зайцева Елена</v>
      </c>
      <c r="D36" s="96" t="str">
        <f>VLOOKUP(A36,'лыжи командная и база'!$A$4:$C295,3,FALSE)</f>
        <v>Бессоновский</v>
      </c>
      <c r="E36" s="186">
        <v>0.028738425925925928</v>
      </c>
      <c r="F36" s="185">
        <v>0.0166666666666666</v>
      </c>
      <c r="G36" s="186">
        <f t="shared" si="0"/>
        <v>0.012071759259259327</v>
      </c>
      <c r="H36" s="98">
        <v>29</v>
      </c>
      <c r="I36" s="11">
        <f t="shared" si="1"/>
        <v>52</v>
      </c>
    </row>
    <row r="37" spans="1:9" ht="16.5" thickBot="1">
      <c r="A37" s="266">
        <v>3310</v>
      </c>
      <c r="B37" s="95">
        <v>52</v>
      </c>
      <c r="C37" s="96" t="str">
        <f>VLOOKUP(A37,'лыжи командная и база'!$A$4:$C298,2,FALSE)</f>
        <v>Вирясова Виктория</v>
      </c>
      <c r="D37" s="96" t="str">
        <f>VLOOKUP(A37,'лыжи командная и база'!$A$4:$C298,3,FALSE)</f>
        <v>Шемышейский</v>
      </c>
      <c r="E37" s="186">
        <v>0.029849537037037036</v>
      </c>
      <c r="F37" s="185">
        <v>0.0177083333333333</v>
      </c>
      <c r="G37" s="186">
        <f t="shared" si="0"/>
        <v>0.012141203703703734</v>
      </c>
      <c r="H37" s="98">
        <v>30</v>
      </c>
      <c r="I37" s="11">
        <f t="shared" si="1"/>
        <v>51</v>
      </c>
    </row>
    <row r="38" spans="1:9" ht="16.5" thickBot="1">
      <c r="A38" s="203">
        <v>1405</v>
      </c>
      <c r="B38" s="29">
        <v>25</v>
      </c>
      <c r="C38" s="96" t="str">
        <f>VLOOKUP(A38,'лыжи командная и база'!$A$4:$C271,2,FALSE)</f>
        <v>Бочкарева Татьяна</v>
      </c>
      <c r="D38" s="96" t="str">
        <f>VLOOKUP(A38,'лыжи командная и база'!$A$4:$C271,3,FALSE)</f>
        <v>Малосердобинский</v>
      </c>
      <c r="E38" s="186">
        <v>0.020636574074074075</v>
      </c>
      <c r="F38" s="185">
        <v>0.00833333333333333</v>
      </c>
      <c r="G38" s="186">
        <f t="shared" si="0"/>
        <v>0.012303240740740745</v>
      </c>
      <c r="H38" s="98">
        <v>31</v>
      </c>
      <c r="I38" s="11">
        <f t="shared" si="1"/>
        <v>50</v>
      </c>
    </row>
    <row r="39" spans="1:9" ht="16.5" thickBot="1">
      <c r="A39" s="267">
        <v>308</v>
      </c>
      <c r="B39" s="95">
        <v>7</v>
      </c>
      <c r="C39" s="96" t="str">
        <f>VLOOKUP(A39,'лыжи командная и база'!$A$4:$C253,2,FALSE)</f>
        <v>Новикова Дарья</v>
      </c>
      <c r="D39" s="96" t="str">
        <f>VLOOKUP(A39,'лыжи командная и база'!$A$4:$C253,3,FALSE)</f>
        <v>Спасский</v>
      </c>
      <c r="E39" s="186">
        <v>0.014525462962962964</v>
      </c>
      <c r="F39" s="185">
        <v>0.00208333333333333</v>
      </c>
      <c r="G39" s="186">
        <f t="shared" si="0"/>
        <v>0.012442129629629635</v>
      </c>
      <c r="H39" s="98">
        <v>32</v>
      </c>
      <c r="I39" s="11">
        <f t="shared" si="1"/>
        <v>49</v>
      </c>
    </row>
    <row r="40" spans="1:9" ht="16.5" thickBot="1">
      <c r="A40" s="266">
        <v>1707</v>
      </c>
      <c r="B40" s="29">
        <v>31</v>
      </c>
      <c r="C40" s="96" t="str">
        <f>VLOOKUP(A40,'лыжи командная и база'!$A$4:$C277,2,FALSE)</f>
        <v>Муштакова Кристина</v>
      </c>
      <c r="D40" s="96" t="str">
        <f>VLOOKUP(A40,'лыжи командная и база'!$A$4:$C277,3,FALSE)</f>
        <v>Каменский</v>
      </c>
      <c r="E40" s="186">
        <v>0.02289351851851852</v>
      </c>
      <c r="F40" s="185">
        <v>0.0104166666666666</v>
      </c>
      <c r="G40" s="186">
        <f aca="true" t="shared" si="2" ref="G40:G61">E40-F40</f>
        <v>0.012476851851851921</v>
      </c>
      <c r="H40" s="98">
        <v>33</v>
      </c>
      <c r="I40" s="11">
        <f t="shared" si="1"/>
        <v>48</v>
      </c>
    </row>
    <row r="41" spans="1:9" ht="16.5" thickBot="1">
      <c r="A41" s="267">
        <v>214</v>
      </c>
      <c r="B41" s="95">
        <v>5</v>
      </c>
      <c r="C41" s="96" t="str">
        <f>VLOOKUP(A41,'лыжи командная и база'!$A$4:$C251,2,FALSE)</f>
        <v>Сураева Надежда</v>
      </c>
      <c r="D41" s="96" t="str">
        <f>VLOOKUP(A41,'лыжи командная и база'!$A$4:$C251,3,FALSE)</f>
        <v>Колышлейский</v>
      </c>
      <c r="E41" s="186">
        <v>0.014120370370370368</v>
      </c>
      <c r="F41" s="185">
        <v>0.00138888888888889</v>
      </c>
      <c r="G41" s="186">
        <f t="shared" si="2"/>
        <v>0.012731481481481479</v>
      </c>
      <c r="H41" s="98">
        <v>34</v>
      </c>
      <c r="I41" s="11">
        <f t="shared" si="1"/>
        <v>47</v>
      </c>
    </row>
    <row r="42" spans="1:9" ht="16.5" thickBot="1">
      <c r="A42" s="267">
        <v>303</v>
      </c>
      <c r="B42" s="29">
        <v>6</v>
      </c>
      <c r="C42" s="96" t="str">
        <f>VLOOKUP(A42,'лыжи командная и база'!$A$4:$C252,2,FALSE)</f>
        <v>Безина Татьяна</v>
      </c>
      <c r="D42" s="96" t="str">
        <f>VLOOKUP(A42,'лыжи командная и база'!$A$4:$C252,3,FALSE)</f>
        <v>Спасский</v>
      </c>
      <c r="E42" s="186">
        <v>0.014837962962962963</v>
      </c>
      <c r="F42" s="185">
        <v>0.00173611111111111</v>
      </c>
      <c r="G42" s="186">
        <f t="shared" si="2"/>
        <v>0.013101851851851852</v>
      </c>
      <c r="H42" s="98">
        <v>35</v>
      </c>
      <c r="I42" s="11">
        <f t="shared" si="1"/>
        <v>46</v>
      </c>
    </row>
    <row r="43" spans="1:9" ht="16.5" thickBot="1">
      <c r="A43" s="267">
        <v>213</v>
      </c>
      <c r="B43" s="95">
        <v>4</v>
      </c>
      <c r="C43" s="96" t="str">
        <f>VLOOKUP(A43,'лыжи командная и база'!$A$4:$C250,2,FALSE)</f>
        <v>Маштракова Д.</v>
      </c>
      <c r="D43" s="96" t="str">
        <f>VLOOKUP(A43,'лыжи командная и база'!$A$4:$C250,3,FALSE)</f>
        <v>Колышлейский</v>
      </c>
      <c r="E43" s="186">
        <v>0.014317129629629631</v>
      </c>
      <c r="F43" s="185">
        <v>0.00104166666666667</v>
      </c>
      <c r="G43" s="186">
        <f t="shared" si="2"/>
        <v>0.013275462962962961</v>
      </c>
      <c r="H43" s="98">
        <v>36</v>
      </c>
      <c r="I43" s="11">
        <f t="shared" si="1"/>
        <v>45</v>
      </c>
    </row>
    <row r="44" spans="1:9" ht="16.5" thickBot="1">
      <c r="A44" s="267">
        <v>714</v>
      </c>
      <c r="B44" s="29">
        <v>14</v>
      </c>
      <c r="C44" s="96" t="str">
        <f>VLOOKUP(A44,'лыжи командная и база'!$A$4:$C260,2,FALSE)</f>
        <v>Оникова Ирина</v>
      </c>
      <c r="D44" s="96" t="str">
        <f>VLOOKUP(A44,'лыжи командная и база'!$A$4:$C260,3,FALSE)</f>
        <v>Земетчинский</v>
      </c>
      <c r="E44" s="186">
        <v>0.017824074074074076</v>
      </c>
      <c r="F44" s="185">
        <v>0.00451388888888889</v>
      </c>
      <c r="G44" s="186">
        <f t="shared" si="2"/>
        <v>0.013310185185185185</v>
      </c>
      <c r="H44" s="98">
        <v>37</v>
      </c>
      <c r="I44" s="11">
        <f t="shared" si="1"/>
        <v>44</v>
      </c>
    </row>
    <row r="45" spans="1:9" ht="16.5" thickBot="1">
      <c r="A45" s="267">
        <v>1515</v>
      </c>
      <c r="B45" s="95">
        <v>27</v>
      </c>
      <c r="C45" s="96" t="str">
        <f>VLOOKUP(A45,'лыжи командная и база'!$A$4:$C273,2,FALSE)</f>
        <v>Воробьева Кристина</v>
      </c>
      <c r="D45" s="96" t="str">
        <f>VLOOKUP(A45,'лыжи командная и база'!$A$4:$C273,3,FALSE)</f>
        <v>Нижнеломовский</v>
      </c>
      <c r="E45" s="186">
        <v>0.022395833333333334</v>
      </c>
      <c r="F45" s="185">
        <v>0.00902777777777778</v>
      </c>
      <c r="G45" s="186">
        <f t="shared" si="2"/>
        <v>0.013368055555555553</v>
      </c>
      <c r="H45" s="98">
        <v>38</v>
      </c>
      <c r="I45" s="11">
        <f t="shared" si="1"/>
        <v>43</v>
      </c>
    </row>
    <row r="46" spans="1:9" ht="16.5" thickBot="1">
      <c r="A46" s="267">
        <v>715</v>
      </c>
      <c r="B46" s="29">
        <v>15</v>
      </c>
      <c r="C46" s="96" t="str">
        <f>VLOOKUP(A46,'лыжи командная и база'!$A$4:$C261,2,FALSE)</f>
        <v>Лебедева Екатерина</v>
      </c>
      <c r="D46" s="96" t="str">
        <f>VLOOKUP(A46,'лыжи командная и база'!$A$4:$C261,3,FALSE)</f>
        <v>Земетчинский</v>
      </c>
      <c r="E46" s="186">
        <v>0.018229166666666668</v>
      </c>
      <c r="F46" s="185">
        <v>0.00486111111111111</v>
      </c>
      <c r="G46" s="186">
        <f t="shared" si="2"/>
        <v>0.013368055555555557</v>
      </c>
      <c r="H46" s="98">
        <v>39</v>
      </c>
      <c r="I46" s="11">
        <f t="shared" si="1"/>
        <v>42</v>
      </c>
    </row>
    <row r="47" spans="1:9" ht="16.5" thickBot="1">
      <c r="A47" s="267">
        <v>405</v>
      </c>
      <c r="B47" s="95">
        <v>8</v>
      </c>
      <c r="C47" s="96" t="str">
        <f>VLOOKUP(A47,'лыжи командная и база'!$A$4:$C254,2,FALSE)</f>
        <v>Степанова Анастасия</v>
      </c>
      <c r="D47" s="96" t="str">
        <f>VLOOKUP(A47,'лыжи командная и база'!$A$4:$C254,3,FALSE)</f>
        <v>Кузнецкий</v>
      </c>
      <c r="E47" s="186">
        <v>0.016261574074074074</v>
      </c>
      <c r="F47" s="185">
        <v>0.00243055555555555</v>
      </c>
      <c r="G47" s="186">
        <f t="shared" si="2"/>
        <v>0.013831018518518524</v>
      </c>
      <c r="H47" s="98">
        <v>40</v>
      </c>
      <c r="I47" s="11">
        <f t="shared" si="1"/>
        <v>41</v>
      </c>
    </row>
    <row r="48" spans="1:9" ht="16.5" thickBot="1">
      <c r="A48" s="266">
        <v>2909</v>
      </c>
      <c r="B48" s="29">
        <v>58</v>
      </c>
      <c r="C48" s="96" t="str">
        <f>VLOOKUP(A48,'лыжи командная и база'!$A$4:$C185,2,FALSE)</f>
        <v>Сорокина Ирина</v>
      </c>
      <c r="D48" s="96" t="str">
        <f>VLOOKUP(A48,'лыжи командная и база'!$A$4:$C185,3,FALSE)</f>
        <v>Вадинский</v>
      </c>
      <c r="E48" s="235">
        <v>0.03353009259259259</v>
      </c>
      <c r="F48" s="185">
        <v>0.019444444444444445</v>
      </c>
      <c r="G48" s="186">
        <f t="shared" si="2"/>
        <v>0.014085648148148146</v>
      </c>
      <c r="H48" s="98">
        <v>41</v>
      </c>
      <c r="I48" s="11">
        <f t="shared" si="1"/>
        <v>40</v>
      </c>
    </row>
    <row r="49" spans="1:9" ht="16.5" thickBot="1">
      <c r="A49" s="203">
        <v>1306</v>
      </c>
      <c r="B49" s="95">
        <v>22</v>
      </c>
      <c r="C49" s="96" t="str">
        <f>VLOOKUP(A49,'лыжи командная и база'!$A$4:$C268,2,FALSE)</f>
        <v>Суздальцева Александра</v>
      </c>
      <c r="D49" s="96" t="str">
        <f>VLOOKUP(A49,'лыжи командная и база'!$A$4:$C268,3,FALSE)</f>
        <v>Пачелмский</v>
      </c>
      <c r="E49" s="186">
        <v>0.02172453703703704</v>
      </c>
      <c r="F49" s="185">
        <v>0.00729166666666666</v>
      </c>
      <c r="G49" s="186">
        <f t="shared" si="2"/>
        <v>0.014432870370370379</v>
      </c>
      <c r="H49" s="98">
        <v>42</v>
      </c>
      <c r="I49" s="11">
        <f t="shared" si="1"/>
        <v>39</v>
      </c>
    </row>
    <row r="50" spans="1:9" ht="16.5" thickBot="1">
      <c r="A50" s="266">
        <v>3011</v>
      </c>
      <c r="B50" s="29">
        <v>46</v>
      </c>
      <c r="C50" s="96" t="str">
        <f>VLOOKUP(A50,'лыжи командная и база'!$A$4:$C292,2,FALSE)</f>
        <v>Галкина Людмила</v>
      </c>
      <c r="D50" s="96" t="str">
        <f>VLOOKUP(A50,'лыжи командная и база'!$A$4:$C292,3,FALSE)</f>
        <v>Наровчатский</v>
      </c>
      <c r="E50" s="186">
        <v>0.03142361111111111</v>
      </c>
      <c r="F50" s="185">
        <v>0.015625</v>
      </c>
      <c r="G50" s="186">
        <f t="shared" si="2"/>
        <v>0.01579861111111111</v>
      </c>
      <c r="H50" s="98">
        <v>43</v>
      </c>
      <c r="I50" s="11">
        <f t="shared" si="1"/>
        <v>38</v>
      </c>
    </row>
    <row r="51" spans="1:9" ht="16.5" thickBot="1">
      <c r="A51" s="266">
        <v>3010</v>
      </c>
      <c r="B51" s="95">
        <v>47</v>
      </c>
      <c r="C51" s="96" t="str">
        <f>VLOOKUP(A51,'лыжи командная и база'!$A$4:$C293,2,FALSE)</f>
        <v>Исаева Ольга</v>
      </c>
      <c r="D51" s="96" t="str">
        <f>VLOOKUP(A51,'лыжи командная и база'!$A$4:$C293,3,FALSE)</f>
        <v>Наровчатский</v>
      </c>
      <c r="E51" s="186">
        <v>0.032511574074074075</v>
      </c>
      <c r="F51" s="185">
        <v>0.0159722222222222</v>
      </c>
      <c r="G51" s="186">
        <f t="shared" si="2"/>
        <v>0.016539351851851875</v>
      </c>
      <c r="H51" s="98">
        <v>44</v>
      </c>
      <c r="I51" s="11">
        <f t="shared" si="1"/>
        <v>37</v>
      </c>
    </row>
    <row r="52" spans="1:9" ht="16.5" thickBot="1">
      <c r="A52" s="268">
        <v>2409</v>
      </c>
      <c r="B52" s="229">
        <v>37</v>
      </c>
      <c r="C52" s="231" t="str">
        <f>VLOOKUP(A52,'лыжи командная и база'!$A$4:$C283,2,FALSE)</f>
        <v>Щербакова Вера</v>
      </c>
      <c r="D52" s="231" t="str">
        <f>VLOOKUP(A52,'лыжи командная и база'!$A$4:$C283,3,FALSE)</f>
        <v>Сосновоборский</v>
      </c>
      <c r="E52" s="232">
        <v>0.029108796296296296</v>
      </c>
      <c r="F52" s="230">
        <v>0.0125</v>
      </c>
      <c r="G52" s="232">
        <f t="shared" si="2"/>
        <v>0.016608796296296295</v>
      </c>
      <c r="H52" s="98">
        <v>45</v>
      </c>
      <c r="I52" s="11">
        <f t="shared" si="1"/>
        <v>36</v>
      </c>
    </row>
    <row r="53" spans="1:9" ht="16.5" thickBot="1">
      <c r="A53" s="267">
        <v>1102</v>
      </c>
      <c r="B53" s="29">
        <v>18</v>
      </c>
      <c r="C53" s="204" t="str">
        <f>VLOOKUP(A53,'лыжи командная и база'!$A$4:$C264,2,FALSE)</f>
        <v>Храмова Анастасия</v>
      </c>
      <c r="D53" s="204" t="str">
        <f>VLOOKUP(A53,'лыжи командная и база'!$A$4:$C264,3,FALSE)</f>
        <v>Бековский</v>
      </c>
      <c r="E53" s="205">
        <v>0.02400462962962963</v>
      </c>
      <c r="F53" s="185">
        <v>0.00590277777777778</v>
      </c>
      <c r="G53" s="205">
        <f t="shared" si="2"/>
        <v>0.018101851851851848</v>
      </c>
      <c r="H53" s="98">
        <v>46</v>
      </c>
      <c r="I53" s="11">
        <f t="shared" si="1"/>
        <v>35</v>
      </c>
    </row>
    <row r="54" spans="1:9" ht="16.5" thickBot="1">
      <c r="A54" s="266">
        <v>3409</v>
      </c>
      <c r="B54" s="29">
        <v>54</v>
      </c>
      <c r="C54" s="204" t="str">
        <f>VLOOKUP(A54,'лыжи командная и база'!$A$4:$C185,2,FALSE)</f>
        <v>Букина Наталья</v>
      </c>
      <c r="D54" s="204" t="str">
        <f>VLOOKUP(A54,'лыжи командная и база'!$A$4:$C185,3,FALSE)</f>
        <v>Камешкирский</v>
      </c>
      <c r="E54" s="205">
        <v>0.03803240740740741</v>
      </c>
      <c r="F54" s="185">
        <v>0.0184027777777778</v>
      </c>
      <c r="G54" s="205">
        <f t="shared" si="2"/>
        <v>0.01962962962962961</v>
      </c>
      <c r="H54" s="98">
        <v>47</v>
      </c>
      <c r="I54" s="11">
        <f t="shared" si="1"/>
        <v>34</v>
      </c>
    </row>
    <row r="55" spans="1:9" ht="16.5" thickBot="1">
      <c r="A55" s="203">
        <v>606</v>
      </c>
      <c r="B55" s="29">
        <v>13</v>
      </c>
      <c r="C55" s="204" t="str">
        <f>VLOOKUP(A55,'лыжи командная и база'!$A$4:$C259,2,FALSE)</f>
        <v>Елевич Светлана</v>
      </c>
      <c r="D55" s="204" t="str">
        <f>VLOOKUP(A55,'лыжи командная и база'!$A$4:$C259,3,FALSE)</f>
        <v>Иссинский</v>
      </c>
      <c r="E55" s="205">
        <v>0.024479166666666666</v>
      </c>
      <c r="F55" s="185">
        <v>0.00416666666666666</v>
      </c>
      <c r="G55" s="205">
        <f t="shared" si="2"/>
        <v>0.020312500000000008</v>
      </c>
      <c r="H55" s="98">
        <v>48</v>
      </c>
      <c r="I55" s="11">
        <f t="shared" si="1"/>
        <v>33</v>
      </c>
    </row>
    <row r="56" spans="1:9" ht="16.5" thickBot="1">
      <c r="A56" s="267">
        <v>1104</v>
      </c>
      <c r="B56" s="29">
        <v>19</v>
      </c>
      <c r="C56" s="204" t="str">
        <f>VLOOKUP(A56,'лыжи командная и база'!$A$4:$C265,2,FALSE)</f>
        <v>Арефьева Оксана</v>
      </c>
      <c r="D56" s="204" t="str">
        <f>VLOOKUP(A56,'лыжи командная и база'!$A$4:$C265,3,FALSE)</f>
        <v>Бековский</v>
      </c>
      <c r="E56" s="205">
        <v>0.027824074074074074</v>
      </c>
      <c r="F56" s="185">
        <v>0.00625</v>
      </c>
      <c r="G56" s="205">
        <f t="shared" si="2"/>
        <v>0.021574074074074072</v>
      </c>
      <c r="H56" s="98">
        <v>49</v>
      </c>
      <c r="I56" s="11">
        <f t="shared" si="1"/>
        <v>32</v>
      </c>
    </row>
    <row r="57" spans="1:9" ht="16.5" thickBot="1">
      <c r="A57" s="203">
        <v>605</v>
      </c>
      <c r="B57" s="29">
        <v>12</v>
      </c>
      <c r="C57" s="204" t="str">
        <f>VLOOKUP(A57,'лыжи командная и база'!$A$4:$C258,2,FALSE)</f>
        <v>Курмаева Гельнур</v>
      </c>
      <c r="D57" s="204" t="str">
        <f>VLOOKUP(A57,'лыжи командная и база'!$A$4:$C258,3,FALSE)</f>
        <v>Иссинский</v>
      </c>
      <c r="E57" s="205">
        <v>0.026539351851851852</v>
      </c>
      <c r="F57" s="185">
        <v>0.00381944444444444</v>
      </c>
      <c r="G57" s="205">
        <f t="shared" si="2"/>
        <v>0.02271990740740741</v>
      </c>
      <c r="H57" s="98">
        <v>50</v>
      </c>
      <c r="I57" s="11">
        <f t="shared" si="1"/>
        <v>31</v>
      </c>
    </row>
    <row r="58" spans="1:9" ht="16.5" thickBot="1">
      <c r="A58" s="203">
        <v>502</v>
      </c>
      <c r="B58" s="29">
        <v>11</v>
      </c>
      <c r="C58" s="204" t="str">
        <f>VLOOKUP(A58,'лыжи командная и база'!$A$4:$C257,2,FALSE)</f>
        <v>Филоненко С.</v>
      </c>
      <c r="D58" s="204" t="str">
        <f>VLOOKUP(A58,'лыжи командная и база'!$A$4:$C257,3,FALSE)</f>
        <v>Лунинский</v>
      </c>
      <c r="E58" s="205">
        <v>0.027141203703703706</v>
      </c>
      <c r="F58" s="185">
        <v>0.00347222222222222</v>
      </c>
      <c r="G58" s="205">
        <f t="shared" si="2"/>
        <v>0.023668981481481485</v>
      </c>
      <c r="H58" s="98">
        <v>51</v>
      </c>
      <c r="I58" s="11">
        <f t="shared" si="1"/>
        <v>30</v>
      </c>
    </row>
    <row r="59" spans="1:9" ht="16.5" thickBot="1">
      <c r="A59" s="203">
        <v>501</v>
      </c>
      <c r="B59" s="29">
        <v>10</v>
      </c>
      <c r="C59" s="204" t="str">
        <f>VLOOKUP(A59,'лыжи командная и база'!$A$4:$C256,2,FALSE)</f>
        <v>Малыгина А.</v>
      </c>
      <c r="D59" s="204" t="str">
        <f>VLOOKUP(A59,'лыжи командная и база'!$A$4:$C256,3,FALSE)</f>
        <v>Лунинский</v>
      </c>
      <c r="E59" s="205">
        <v>0.02710648148148148</v>
      </c>
      <c r="F59" s="185">
        <v>0.003125</v>
      </c>
      <c r="G59" s="205">
        <f t="shared" si="2"/>
        <v>0.023981481481481482</v>
      </c>
      <c r="H59" s="98">
        <v>52</v>
      </c>
      <c r="I59" s="11">
        <f t="shared" si="1"/>
        <v>29</v>
      </c>
    </row>
    <row r="60" spans="1:9" ht="16.5" thickBot="1">
      <c r="A60" s="266">
        <v>2408</v>
      </c>
      <c r="B60" s="29">
        <v>36</v>
      </c>
      <c r="C60" s="204" t="str">
        <f>VLOOKUP(A60,'лыжи командная и база'!$A$4:$C282,2,FALSE)</f>
        <v>Терентьева Анастасия</v>
      </c>
      <c r="D60" s="204" t="str">
        <f>VLOOKUP(A60,'лыжи командная и база'!$A$4:$C282,3,FALSE)</f>
        <v>Сосновоборский</v>
      </c>
      <c r="E60" s="205">
        <v>0.041666666666666664</v>
      </c>
      <c r="F60" s="185">
        <v>0.0121527777777778</v>
      </c>
      <c r="G60" s="205">
        <f t="shared" si="2"/>
        <v>0.029513888888888864</v>
      </c>
      <c r="H60" s="98">
        <v>53</v>
      </c>
      <c r="I60" s="11">
        <f t="shared" si="1"/>
        <v>28</v>
      </c>
    </row>
    <row r="61" spans="1:9" ht="16.5" thickBot="1">
      <c r="A61" s="203">
        <v>1401</v>
      </c>
      <c r="B61" s="29">
        <v>24</v>
      </c>
      <c r="C61" s="204" t="str">
        <f>VLOOKUP(A61,'лыжи командная и база'!$A$4:$C270,2,FALSE)</f>
        <v>Щеглова Ольга</v>
      </c>
      <c r="D61" s="204" t="str">
        <f>VLOOKUP(A61,'лыжи командная и база'!$A$4:$C270,3,FALSE)</f>
        <v>Малосердобинский</v>
      </c>
      <c r="E61" s="205">
        <v>0.041666666666666664</v>
      </c>
      <c r="F61" s="185">
        <v>0.00798611111111111</v>
      </c>
      <c r="G61" s="205">
        <f t="shared" si="2"/>
        <v>0.033680555555555554</v>
      </c>
      <c r="H61" s="98">
        <v>54</v>
      </c>
      <c r="I61" s="11">
        <f t="shared" si="1"/>
        <v>27</v>
      </c>
    </row>
    <row r="62" spans="1:9" ht="15.75">
      <c r="A62" s="1"/>
      <c r="B62" s="29"/>
      <c r="C62" s="204"/>
      <c r="D62" s="204"/>
      <c r="E62" s="234"/>
      <c r="F62" s="185"/>
      <c r="G62" s="205"/>
      <c r="H62" s="98"/>
      <c r="I62" s="233"/>
    </row>
    <row r="63" spans="1:9" ht="15.75">
      <c r="A63" s="1"/>
      <c r="B63" s="29"/>
      <c r="C63" s="204"/>
      <c r="D63" s="204"/>
      <c r="E63" s="234"/>
      <c r="F63" s="185"/>
      <c r="G63" s="205"/>
      <c r="H63" s="98"/>
      <c r="I63" s="233"/>
    </row>
    <row r="64" spans="1:9" ht="15.75">
      <c r="A64" s="1"/>
      <c r="B64" s="29"/>
      <c r="C64" s="204"/>
      <c r="D64" s="204"/>
      <c r="E64" s="234"/>
      <c r="F64" s="185"/>
      <c r="G64" s="205"/>
      <c r="H64" s="98"/>
      <c r="I64" s="233"/>
    </row>
  </sheetData>
  <sheetProtection/>
  <mergeCells count="10">
    <mergeCell ref="A2:E2"/>
    <mergeCell ref="A4:E4"/>
    <mergeCell ref="A5:E5"/>
    <mergeCell ref="I6:I7"/>
    <mergeCell ref="D6:D7"/>
    <mergeCell ref="G6:G7"/>
    <mergeCell ref="A6:A7"/>
    <mergeCell ref="C6:C7"/>
    <mergeCell ref="F6:F7"/>
    <mergeCell ref="E6:E7"/>
  </mergeCells>
  <printOptions horizontalCentered="1"/>
  <pageMargins left="0.2362204724409449" right="0.15748031496062992" top="0.5905511811023623" bottom="0.5905511811023623" header="0.31496062992125984" footer="0.31496062992125984"/>
  <pageSetup fitToHeight="1" fitToWidth="1" horizontalDpi="600" verticalDpi="600" orientation="portrait" paperSize="9" scale="96" r:id="rId1"/>
  <colBreaks count="1" manualBreakCount="1">
    <brk id="5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0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2" max="2" width="7.28125" style="0" hidden="1" customWidth="1"/>
    <col min="3" max="3" width="26.421875" style="0" customWidth="1"/>
    <col min="4" max="4" width="23.00390625" style="0" customWidth="1"/>
    <col min="5" max="6" width="9.00390625" style="0" customWidth="1"/>
    <col min="7" max="7" width="7.7109375" style="0" customWidth="1"/>
    <col min="8" max="8" width="6.7109375" style="0" customWidth="1"/>
    <col min="9" max="9" width="6.28125" style="0" customWidth="1"/>
  </cols>
  <sheetData>
    <row r="1" spans="11:90" ht="16.5" thickBot="1">
      <c r="K1" s="28">
        <v>1</v>
      </c>
      <c r="L1" s="28">
        <v>2</v>
      </c>
      <c r="M1" s="28">
        <v>3</v>
      </c>
      <c r="N1" s="28">
        <v>4</v>
      </c>
      <c r="O1" s="28">
        <v>5</v>
      </c>
      <c r="P1" s="28">
        <v>6</v>
      </c>
      <c r="Q1" s="28">
        <v>7</v>
      </c>
      <c r="R1" s="28">
        <v>8</v>
      </c>
      <c r="S1" s="28">
        <v>9</v>
      </c>
      <c r="T1" s="28">
        <v>10</v>
      </c>
      <c r="U1" s="28">
        <v>11</v>
      </c>
      <c r="V1" s="28">
        <v>12</v>
      </c>
      <c r="W1" s="28">
        <v>13</v>
      </c>
      <c r="X1" s="28">
        <v>14</v>
      </c>
      <c r="Y1" s="28">
        <v>15</v>
      </c>
      <c r="Z1" s="28">
        <v>16</v>
      </c>
      <c r="AA1" s="28">
        <v>17</v>
      </c>
      <c r="AB1" s="28">
        <v>18</v>
      </c>
      <c r="AC1" s="28">
        <v>19</v>
      </c>
      <c r="AD1" s="28">
        <v>20</v>
      </c>
      <c r="AE1" s="28">
        <v>21</v>
      </c>
      <c r="AF1" s="28">
        <v>22</v>
      </c>
      <c r="AG1" s="28">
        <v>23</v>
      </c>
      <c r="AH1" s="28">
        <v>24</v>
      </c>
      <c r="AI1" s="28">
        <v>25</v>
      </c>
      <c r="AJ1" s="28">
        <v>26</v>
      </c>
      <c r="AK1" s="28">
        <v>27</v>
      </c>
      <c r="AL1" s="28">
        <v>28</v>
      </c>
      <c r="AM1" s="28">
        <v>29</v>
      </c>
      <c r="AN1" s="28">
        <v>30</v>
      </c>
      <c r="AO1" s="28">
        <v>31</v>
      </c>
      <c r="AP1" s="28">
        <v>32</v>
      </c>
      <c r="AQ1" s="28">
        <v>33</v>
      </c>
      <c r="AR1" s="28">
        <v>34</v>
      </c>
      <c r="AS1" s="28">
        <v>35</v>
      </c>
      <c r="AT1" s="28">
        <v>36</v>
      </c>
      <c r="AU1" s="28">
        <v>37</v>
      </c>
      <c r="AV1" s="28">
        <v>38</v>
      </c>
      <c r="AW1" s="28">
        <v>39</v>
      </c>
      <c r="AX1" s="28">
        <v>40</v>
      </c>
      <c r="AY1" s="28">
        <v>41</v>
      </c>
      <c r="AZ1" s="28">
        <v>42</v>
      </c>
      <c r="BA1" s="28">
        <v>43</v>
      </c>
      <c r="BB1" s="28">
        <v>44</v>
      </c>
      <c r="BC1" s="28">
        <v>45</v>
      </c>
      <c r="BD1" s="28">
        <v>46</v>
      </c>
      <c r="BE1" s="28">
        <v>47</v>
      </c>
      <c r="BF1" s="28">
        <v>48</v>
      </c>
      <c r="BG1" s="28">
        <v>49</v>
      </c>
      <c r="BH1" s="28">
        <v>50</v>
      </c>
      <c r="BI1" s="28">
        <v>51</v>
      </c>
      <c r="BJ1" s="28">
        <v>52</v>
      </c>
      <c r="BK1" s="28">
        <v>53</v>
      </c>
      <c r="BL1" s="28">
        <v>54</v>
      </c>
      <c r="BM1" s="28">
        <v>55</v>
      </c>
      <c r="BN1" s="28">
        <v>56</v>
      </c>
      <c r="BO1" s="28">
        <v>57</v>
      </c>
      <c r="BP1" s="28">
        <v>58</v>
      </c>
      <c r="BQ1" s="28">
        <v>59</v>
      </c>
      <c r="BR1" s="28">
        <v>60</v>
      </c>
      <c r="BS1" s="28">
        <v>61</v>
      </c>
      <c r="BT1" s="28">
        <v>62</v>
      </c>
      <c r="BU1" s="28">
        <v>63</v>
      </c>
      <c r="BV1" s="28">
        <v>64</v>
      </c>
      <c r="BW1" s="28">
        <v>65</v>
      </c>
      <c r="BX1" s="28">
        <v>66</v>
      </c>
      <c r="BY1" s="28">
        <v>67</v>
      </c>
      <c r="BZ1" s="28">
        <v>68</v>
      </c>
      <c r="CA1" s="28">
        <v>69</v>
      </c>
      <c r="CB1" s="28">
        <v>70</v>
      </c>
      <c r="CC1" s="28">
        <v>71</v>
      </c>
      <c r="CD1" s="28">
        <v>72</v>
      </c>
      <c r="CE1" s="28">
        <v>73</v>
      </c>
      <c r="CF1" s="28">
        <v>74</v>
      </c>
      <c r="CG1" s="28">
        <v>75</v>
      </c>
      <c r="CH1" s="28">
        <v>76</v>
      </c>
      <c r="CI1" s="28">
        <v>77</v>
      </c>
      <c r="CJ1" s="28">
        <v>78</v>
      </c>
      <c r="CK1" s="28">
        <v>79</v>
      </c>
      <c r="CL1" s="28">
        <v>80</v>
      </c>
    </row>
    <row r="2" spans="1:90" ht="16.5" thickBot="1">
      <c r="A2" s="306" t="s">
        <v>77</v>
      </c>
      <c r="B2" s="306"/>
      <c r="C2" s="306"/>
      <c r="D2" s="306"/>
      <c r="E2" s="306"/>
      <c r="F2" s="37"/>
      <c r="G2" s="46"/>
      <c r="H2" s="46"/>
      <c r="I2" s="37"/>
      <c r="K2" s="28">
        <v>120</v>
      </c>
      <c r="L2" s="28">
        <v>108</v>
      </c>
      <c r="M2" s="28">
        <v>98</v>
      </c>
      <c r="N2" s="28">
        <v>90</v>
      </c>
      <c r="O2" s="28">
        <v>85</v>
      </c>
      <c r="P2" s="28">
        <v>82</v>
      </c>
      <c r="Q2" s="28">
        <v>79</v>
      </c>
      <c r="R2" s="28">
        <v>76</v>
      </c>
      <c r="S2" s="28">
        <v>74</v>
      </c>
      <c r="T2" s="28">
        <v>72</v>
      </c>
      <c r="U2" s="28">
        <v>70</v>
      </c>
      <c r="V2" s="28">
        <v>69</v>
      </c>
      <c r="W2" s="28">
        <v>68</v>
      </c>
      <c r="X2" s="28">
        <v>67</v>
      </c>
      <c r="Y2" s="28">
        <v>66</v>
      </c>
      <c r="Z2" s="28">
        <v>65</v>
      </c>
      <c r="AA2" s="28">
        <v>64</v>
      </c>
      <c r="AB2" s="28">
        <v>63</v>
      </c>
      <c r="AC2" s="28">
        <v>62</v>
      </c>
      <c r="AD2" s="28">
        <v>61</v>
      </c>
      <c r="AE2" s="28">
        <v>60</v>
      </c>
      <c r="AF2" s="28">
        <v>59</v>
      </c>
      <c r="AG2" s="28">
        <v>58</v>
      </c>
      <c r="AH2" s="28">
        <v>57</v>
      </c>
      <c r="AI2" s="28">
        <v>56</v>
      </c>
      <c r="AJ2" s="28">
        <v>55</v>
      </c>
      <c r="AK2" s="28">
        <v>54</v>
      </c>
      <c r="AL2" s="28">
        <v>53</v>
      </c>
      <c r="AM2" s="28">
        <v>52</v>
      </c>
      <c r="AN2" s="28">
        <v>51</v>
      </c>
      <c r="AO2" s="28">
        <v>50</v>
      </c>
      <c r="AP2" s="28">
        <v>49</v>
      </c>
      <c r="AQ2" s="28">
        <v>48</v>
      </c>
      <c r="AR2" s="28">
        <v>47</v>
      </c>
      <c r="AS2" s="28">
        <v>46</v>
      </c>
      <c r="AT2" s="28">
        <v>45</v>
      </c>
      <c r="AU2" s="28">
        <v>44</v>
      </c>
      <c r="AV2" s="28">
        <v>43</v>
      </c>
      <c r="AW2" s="28">
        <v>42</v>
      </c>
      <c r="AX2" s="28">
        <v>41</v>
      </c>
      <c r="AY2" s="28">
        <v>40</v>
      </c>
      <c r="AZ2" s="28">
        <v>39</v>
      </c>
      <c r="BA2" s="28">
        <v>38</v>
      </c>
      <c r="BB2" s="28">
        <v>37</v>
      </c>
      <c r="BC2" s="28">
        <v>36</v>
      </c>
      <c r="BD2" s="28">
        <v>35</v>
      </c>
      <c r="BE2" s="28">
        <v>34</v>
      </c>
      <c r="BF2" s="28">
        <v>33</v>
      </c>
      <c r="BG2" s="28">
        <v>32</v>
      </c>
      <c r="BH2" s="28">
        <v>31</v>
      </c>
      <c r="BI2" s="28">
        <v>30</v>
      </c>
      <c r="BJ2" s="28">
        <v>29</v>
      </c>
      <c r="BK2" s="28">
        <v>28</v>
      </c>
      <c r="BL2" s="28">
        <v>27</v>
      </c>
      <c r="BM2" s="28">
        <v>26</v>
      </c>
      <c r="BN2" s="28">
        <v>25</v>
      </c>
      <c r="BO2" s="28">
        <v>24</v>
      </c>
      <c r="BP2" s="28">
        <v>23</v>
      </c>
      <c r="BQ2" s="28">
        <v>22</v>
      </c>
      <c r="BR2" s="28">
        <v>21</v>
      </c>
      <c r="BS2" s="28">
        <v>20</v>
      </c>
      <c r="BT2" s="28">
        <v>19</v>
      </c>
      <c r="BU2" s="28">
        <v>18</v>
      </c>
      <c r="BV2" s="28">
        <v>17</v>
      </c>
      <c r="BW2" s="28">
        <v>16</v>
      </c>
      <c r="BX2" s="28">
        <v>15</v>
      </c>
      <c r="BY2" s="28">
        <v>14</v>
      </c>
      <c r="BZ2" s="28">
        <v>13</v>
      </c>
      <c r="CA2" s="28">
        <v>12</v>
      </c>
      <c r="CB2" s="28">
        <v>11</v>
      </c>
      <c r="CC2" s="28">
        <v>10</v>
      </c>
      <c r="CD2" s="28">
        <v>9</v>
      </c>
      <c r="CE2" s="28">
        <v>8</v>
      </c>
      <c r="CF2" s="28">
        <v>7</v>
      </c>
      <c r="CG2" s="28">
        <v>6</v>
      </c>
      <c r="CH2" s="28">
        <v>5</v>
      </c>
      <c r="CI2" s="28">
        <v>4</v>
      </c>
      <c r="CJ2" s="28">
        <v>3</v>
      </c>
      <c r="CK2" s="28">
        <v>2</v>
      </c>
      <c r="CL2" s="28">
        <v>1</v>
      </c>
    </row>
    <row r="3" spans="11:12" ht="15.75">
      <c r="K3" s="84"/>
      <c r="L3" s="5"/>
    </row>
    <row r="4" spans="1:12" ht="26.25" customHeight="1">
      <c r="A4" s="307" t="s">
        <v>78</v>
      </c>
      <c r="B4" s="307"/>
      <c r="C4" s="307"/>
      <c r="D4" s="307"/>
      <c r="E4" s="307"/>
      <c r="F4" s="124"/>
      <c r="G4" s="46"/>
      <c r="H4" s="46"/>
      <c r="I4" s="4"/>
      <c r="K4" s="84"/>
      <c r="L4" s="5"/>
    </row>
    <row r="5" spans="1:12" ht="23.25" customHeight="1" thickBot="1">
      <c r="A5" s="308" t="s">
        <v>81</v>
      </c>
      <c r="B5" s="308"/>
      <c r="C5" s="308"/>
      <c r="D5" s="308"/>
      <c r="E5" s="308"/>
      <c r="F5" s="125"/>
      <c r="G5" s="94"/>
      <c r="H5" s="94"/>
      <c r="I5" s="38"/>
      <c r="K5" s="84"/>
      <c r="L5" s="5"/>
    </row>
    <row r="6" spans="1:12" ht="18" customHeight="1">
      <c r="A6" s="315" t="s">
        <v>33</v>
      </c>
      <c r="B6" s="97" t="s">
        <v>12</v>
      </c>
      <c r="C6" s="317" t="s">
        <v>34</v>
      </c>
      <c r="D6" s="311" t="s">
        <v>35</v>
      </c>
      <c r="E6" s="319" t="s">
        <v>79</v>
      </c>
      <c r="F6" s="319" t="s">
        <v>80</v>
      </c>
      <c r="G6" s="313" t="s">
        <v>47</v>
      </c>
      <c r="H6" s="86"/>
      <c r="I6" s="309" t="s">
        <v>31</v>
      </c>
      <c r="K6" s="84"/>
      <c r="L6" s="5"/>
    </row>
    <row r="7" spans="1:12" ht="13.5" customHeight="1" thickBot="1">
      <c r="A7" s="316"/>
      <c r="B7" s="92"/>
      <c r="C7" s="318"/>
      <c r="D7" s="312"/>
      <c r="E7" s="320"/>
      <c r="F7" s="320"/>
      <c r="G7" s="314"/>
      <c r="H7" s="126" t="s">
        <v>7</v>
      </c>
      <c r="I7" s="310"/>
      <c r="K7" s="84"/>
      <c r="L7" s="5"/>
    </row>
    <row r="8" spans="1:12" s="12" customFormat="1" ht="16.5" thickBot="1">
      <c r="A8" s="18">
        <v>2602</v>
      </c>
      <c r="B8" s="236">
        <v>41</v>
      </c>
      <c r="C8" s="237" t="str">
        <f>VLOOKUP(A8,'лыжи командная и база'!$A$4:$C185,2,FALSE)</f>
        <v>Какулин Александр</v>
      </c>
      <c r="D8" s="237" t="str">
        <f>VLOOKUP(A8,'лыжи командная и база'!$A$4:$C185,3,FALSE)</f>
        <v>Лопатинский</v>
      </c>
      <c r="E8" s="238">
        <v>0.02246527777777778</v>
      </c>
      <c r="F8" s="239">
        <v>0.0138888888888889</v>
      </c>
      <c r="G8" s="238">
        <f aca="true" t="shared" si="0" ref="G8:G39">E8-F8</f>
        <v>0.008576388888888878</v>
      </c>
      <c r="H8" s="98">
        <v>1</v>
      </c>
      <c r="I8" s="11">
        <f aca="true" t="shared" si="1" ref="I8:I57">LOOKUP(H8,$K$1:$CL$1,$K$2:$CL$2)</f>
        <v>120</v>
      </c>
      <c r="K8" s="84"/>
      <c r="L8" s="85"/>
    </row>
    <row r="9" spans="1:12" s="12" customFormat="1" ht="16.5" thickBot="1">
      <c r="A9" s="240">
        <v>1216</v>
      </c>
      <c r="B9" s="214">
        <v>20</v>
      </c>
      <c r="C9" s="237" t="str">
        <f>VLOOKUP(A9,'лыжи командная и база'!$A$4:$C266,2,FALSE)</f>
        <v>Христич А.</v>
      </c>
      <c r="D9" s="237" t="str">
        <f>VLOOKUP(A9,'лыжи командная и база'!$A$4:$C266,3,FALSE)</f>
        <v>Неверкинский</v>
      </c>
      <c r="E9" s="238">
        <v>0.015277777777777777</v>
      </c>
      <c r="F9" s="241">
        <v>0.00659722222222222</v>
      </c>
      <c r="G9" s="238">
        <f t="shared" si="0"/>
        <v>0.008680555555555558</v>
      </c>
      <c r="H9" s="98">
        <v>2</v>
      </c>
      <c r="I9" s="11">
        <f t="shared" si="1"/>
        <v>108</v>
      </c>
      <c r="K9" s="84"/>
      <c r="L9" s="85"/>
    </row>
    <row r="10" spans="1:12" s="12" customFormat="1" ht="16.5" thickBot="1">
      <c r="A10" s="242">
        <v>1616</v>
      </c>
      <c r="B10" s="214">
        <v>29</v>
      </c>
      <c r="C10" s="237" t="str">
        <f>VLOOKUP(A10,'лыжи командная и база'!$A$4:$C178,2,FALSE)</f>
        <v>Молодцов Алексей</v>
      </c>
      <c r="D10" s="237" t="str">
        <f>VLOOKUP(A10,'лыжи командная и база'!$A$4:$C178,3,FALSE)</f>
        <v>Башмаковский</v>
      </c>
      <c r="E10" s="238">
        <v>0.01857638888888889</v>
      </c>
      <c r="F10" s="239">
        <v>0.00972222222222222</v>
      </c>
      <c r="G10" s="238">
        <f t="shared" si="0"/>
        <v>0.008854166666666668</v>
      </c>
      <c r="H10" s="98">
        <v>3</v>
      </c>
      <c r="I10" s="11">
        <f t="shared" si="1"/>
        <v>98</v>
      </c>
      <c r="K10" s="84"/>
      <c r="L10" s="85"/>
    </row>
    <row r="11" spans="1:12" s="12" customFormat="1" ht="16.5" thickBot="1">
      <c r="A11" s="242">
        <v>1215</v>
      </c>
      <c r="B11" s="236">
        <v>21</v>
      </c>
      <c r="C11" s="237" t="str">
        <f>VLOOKUP(A11,'лыжи командная и база'!$A$4:$C267,2,FALSE)</f>
        <v>Черков В.</v>
      </c>
      <c r="D11" s="237" t="str">
        <f>VLOOKUP(A11,'лыжи командная и база'!$A$4:$C267,3,FALSE)</f>
        <v>Неверкинский</v>
      </c>
      <c r="E11" s="238">
        <v>0.01579861111111111</v>
      </c>
      <c r="F11" s="239">
        <v>0.00694444444444444</v>
      </c>
      <c r="G11" s="238">
        <f t="shared" si="0"/>
        <v>0.00885416666666667</v>
      </c>
      <c r="H11" s="98">
        <v>3</v>
      </c>
      <c r="I11" s="11">
        <f t="shared" si="1"/>
        <v>98</v>
      </c>
      <c r="K11" s="84"/>
      <c r="L11" s="85"/>
    </row>
    <row r="12" spans="1:12" s="12" customFormat="1" ht="16.5" thickBot="1">
      <c r="A12" s="18">
        <v>2206</v>
      </c>
      <c r="B12" s="214">
        <v>35</v>
      </c>
      <c r="C12" s="237" t="str">
        <f>VLOOKUP(A12,'лыжи командная и база'!$A$4:$C184,2,FALSE)</f>
        <v>Кондрашов Павел</v>
      </c>
      <c r="D12" s="237" t="str">
        <f>VLOOKUP(A12,'лыжи командная и база'!$A$4:$C184,3,FALSE)</f>
        <v>Мокшанский</v>
      </c>
      <c r="E12" s="238">
        <v>0.02065972222222222</v>
      </c>
      <c r="F12" s="239">
        <v>0.0118055555555555</v>
      </c>
      <c r="G12" s="238">
        <f t="shared" si="0"/>
        <v>0.008854166666666722</v>
      </c>
      <c r="H12" s="98">
        <v>3</v>
      </c>
      <c r="I12" s="11">
        <f t="shared" si="1"/>
        <v>98</v>
      </c>
      <c r="K12" s="84"/>
      <c r="L12" s="85"/>
    </row>
    <row r="13" spans="1:12" s="12" customFormat="1" ht="16.5" thickBot="1">
      <c r="A13" s="242">
        <v>302</v>
      </c>
      <c r="B13" s="236">
        <v>6</v>
      </c>
      <c r="C13" s="237" t="str">
        <f>VLOOKUP(A13,'лыжи командная и база'!$A$4:$C252,2,FALSE)</f>
        <v>Щегольков Владимир</v>
      </c>
      <c r="D13" s="237" t="str">
        <f>VLOOKUP(A13,'лыжи командная и база'!$A$4:$C252,3,FALSE)</f>
        <v>Спасский</v>
      </c>
      <c r="E13" s="238">
        <v>0.01064814814814815</v>
      </c>
      <c r="F13" s="241">
        <v>0.00173611111111111</v>
      </c>
      <c r="G13" s="238">
        <f t="shared" si="0"/>
        <v>0.00891203703703704</v>
      </c>
      <c r="H13" s="98">
        <v>6</v>
      </c>
      <c r="I13" s="11">
        <f t="shared" si="1"/>
        <v>82</v>
      </c>
      <c r="K13" s="84"/>
      <c r="L13" s="85"/>
    </row>
    <row r="14" spans="1:12" s="12" customFormat="1" ht="16.5" thickBot="1">
      <c r="A14" s="18">
        <v>2509</v>
      </c>
      <c r="B14" s="214">
        <v>38</v>
      </c>
      <c r="C14" s="237" t="str">
        <f>VLOOKUP(A14,'лыжи командная и база'!$A$4:$C185,2,FALSE)</f>
        <v>Седов Д.</v>
      </c>
      <c r="D14" s="237" t="str">
        <f>VLOOKUP(A14,'лыжи командная и база'!$A$4:$C185,3,FALSE)</f>
        <v>Никольский</v>
      </c>
      <c r="E14" s="238">
        <v>0.021956018518518517</v>
      </c>
      <c r="F14" s="241">
        <v>0.0128472222222222</v>
      </c>
      <c r="G14" s="238">
        <f t="shared" si="0"/>
        <v>0.009108796296296316</v>
      </c>
      <c r="H14" s="98">
        <v>7</v>
      </c>
      <c r="I14" s="11">
        <f t="shared" si="1"/>
        <v>79</v>
      </c>
      <c r="K14" s="84"/>
      <c r="L14" s="85"/>
    </row>
    <row r="15" spans="1:12" s="12" customFormat="1" ht="16.5" thickBot="1">
      <c r="A15" s="18">
        <v>2805</v>
      </c>
      <c r="B15" s="236">
        <v>42</v>
      </c>
      <c r="C15" s="237" t="str">
        <f>VLOOKUP(A15,'лыжи командная и база'!$A$4:$C185,2,FALSE)</f>
        <v>Бородулин Олег</v>
      </c>
      <c r="D15" s="237" t="str">
        <f>VLOOKUP(A15,'лыжи командная и база'!$A$4:$C185,3,FALSE)</f>
        <v>Тамалинский</v>
      </c>
      <c r="E15" s="238">
        <v>0.02335648148148148</v>
      </c>
      <c r="F15" s="241">
        <v>0.0142361111111111</v>
      </c>
      <c r="G15" s="238">
        <f t="shared" si="0"/>
        <v>0.009120370370370381</v>
      </c>
      <c r="H15" s="98">
        <v>8</v>
      </c>
      <c r="I15" s="11">
        <f t="shared" si="1"/>
        <v>76</v>
      </c>
      <c r="K15" s="84"/>
      <c r="L15" s="85"/>
    </row>
    <row r="16" spans="1:12" s="12" customFormat="1" ht="16.5" thickBot="1">
      <c r="A16" s="242">
        <v>216</v>
      </c>
      <c r="B16" s="214">
        <v>5</v>
      </c>
      <c r="C16" s="237" t="str">
        <f>VLOOKUP(A16,'лыжи командная и база'!$A$4:$C251,2,FALSE)</f>
        <v>Шарков М.</v>
      </c>
      <c r="D16" s="237" t="str">
        <f>VLOOKUP(A16,'лыжи командная и база'!$A$4:$C251,3,FALSE)</f>
        <v>Колышлейский</v>
      </c>
      <c r="E16" s="238">
        <v>0.010555555555555554</v>
      </c>
      <c r="F16" s="239">
        <v>0.00138888888888889</v>
      </c>
      <c r="G16" s="238">
        <f t="shared" si="0"/>
        <v>0.009166666666666663</v>
      </c>
      <c r="H16" s="98">
        <v>9</v>
      </c>
      <c r="I16" s="11">
        <f t="shared" si="1"/>
        <v>74</v>
      </c>
      <c r="K16" s="84"/>
      <c r="L16" s="85"/>
    </row>
    <row r="17" spans="1:12" s="12" customFormat="1" ht="16.5" thickBot="1">
      <c r="A17" s="242">
        <v>304</v>
      </c>
      <c r="B17" s="236">
        <v>7</v>
      </c>
      <c r="C17" s="237" t="str">
        <f>VLOOKUP(A17,'лыжи командная и база'!$A$4:$C253,2,FALSE)</f>
        <v>Соборников Алексей</v>
      </c>
      <c r="D17" s="237" t="str">
        <f>VLOOKUP(A17,'лыжи командная и база'!$A$4:$C253,3,FALSE)</f>
        <v>Спасский</v>
      </c>
      <c r="E17" s="238">
        <v>0.011307870370370371</v>
      </c>
      <c r="F17" s="239">
        <v>0.00208333333333333</v>
      </c>
      <c r="G17" s="238">
        <f t="shared" si="0"/>
        <v>0.009224537037037042</v>
      </c>
      <c r="H17" s="98">
        <v>10</v>
      </c>
      <c r="I17" s="11">
        <f t="shared" si="1"/>
        <v>72</v>
      </c>
      <c r="K17" s="84"/>
      <c r="L17" s="85"/>
    </row>
    <row r="18" spans="1:12" ht="16.5" thickBot="1">
      <c r="A18" s="18">
        <v>2009</v>
      </c>
      <c r="B18" s="214">
        <v>32</v>
      </c>
      <c r="C18" s="237" t="str">
        <f>VLOOKUP(A18,'лыжи командная и база'!$A$4:$C181,2,FALSE)</f>
        <v>Жаткин Александр</v>
      </c>
      <c r="D18" s="237" t="str">
        <f>VLOOKUP(A18,'лыжи командная и база'!$A$4:$C181,3,FALSE)</f>
        <v>Городищенский</v>
      </c>
      <c r="E18" s="238">
        <v>0.02005787037037037</v>
      </c>
      <c r="F18" s="241">
        <v>0.0107638888888889</v>
      </c>
      <c r="G18" s="238">
        <f t="shared" si="0"/>
        <v>0.009293981481481469</v>
      </c>
      <c r="H18" s="98">
        <v>11</v>
      </c>
      <c r="I18" s="11">
        <f t="shared" si="1"/>
        <v>70</v>
      </c>
      <c r="K18" s="84"/>
      <c r="L18" s="5"/>
    </row>
    <row r="19" spans="1:12" ht="16.5" thickBot="1">
      <c r="A19" s="18">
        <v>3202</v>
      </c>
      <c r="B19" s="236">
        <v>50</v>
      </c>
      <c r="C19" s="237" t="str">
        <f>VLOOKUP(A19,'лыжи командная и база'!$A$4:$C185,2,FALSE)</f>
        <v>Потешкин Никита</v>
      </c>
      <c r="D19" s="237" t="str">
        <f>VLOOKUP(A19,'лыжи командная и база'!$A$4:$C185,3,FALSE)</f>
        <v>Пензенский</v>
      </c>
      <c r="E19" s="238">
        <v>0.026412037037037036</v>
      </c>
      <c r="F19" s="241">
        <v>0.0170138888888889</v>
      </c>
      <c r="G19" s="238">
        <f t="shared" si="0"/>
        <v>0.009398148148148135</v>
      </c>
      <c r="H19" s="98">
        <v>12</v>
      </c>
      <c r="I19" s="11">
        <f t="shared" si="1"/>
        <v>69</v>
      </c>
      <c r="K19" s="84"/>
      <c r="L19" s="5"/>
    </row>
    <row r="20" spans="1:12" ht="16.5" thickBot="1">
      <c r="A20" s="242">
        <v>1301</v>
      </c>
      <c r="B20" s="214">
        <v>22</v>
      </c>
      <c r="C20" s="237" t="str">
        <f>VLOOKUP(A20,'лыжи командная и база'!$A$4:$C171,2,FALSE)</f>
        <v>Струев Михаил</v>
      </c>
      <c r="D20" s="237" t="str">
        <f>VLOOKUP(A20,'лыжи командная и база'!$A$4:$C171,3,FALSE)</f>
        <v>Пачелмский</v>
      </c>
      <c r="E20" s="238">
        <v>0.01671296296296296</v>
      </c>
      <c r="F20" s="241">
        <v>0.00729166666666666</v>
      </c>
      <c r="G20" s="238">
        <f t="shared" si="0"/>
        <v>0.009421296296296301</v>
      </c>
      <c r="H20" s="98">
        <v>13</v>
      </c>
      <c r="I20" s="11">
        <f t="shared" si="1"/>
        <v>68</v>
      </c>
      <c r="K20" s="84"/>
      <c r="L20" s="5"/>
    </row>
    <row r="21" spans="1:12" ht="16.5" thickBot="1">
      <c r="A21" s="18">
        <v>1706</v>
      </c>
      <c r="B21" s="236">
        <v>31</v>
      </c>
      <c r="C21" s="237" t="str">
        <f>VLOOKUP(A21,'лыжи командная и база'!$A$4:$C180,2,FALSE)</f>
        <v>Резников Вячеслав</v>
      </c>
      <c r="D21" s="237" t="str">
        <f>VLOOKUP(A21,'лыжи командная и база'!$A$4:$C180,3,FALSE)</f>
        <v>Каменский</v>
      </c>
      <c r="E21" s="238">
        <v>0.01994212962962963</v>
      </c>
      <c r="F21" s="239">
        <v>0.0104166666666666</v>
      </c>
      <c r="G21" s="238">
        <f t="shared" si="0"/>
        <v>0.009525462962963029</v>
      </c>
      <c r="H21" s="98">
        <v>14</v>
      </c>
      <c r="I21" s="11">
        <f t="shared" si="1"/>
        <v>67</v>
      </c>
      <c r="K21" s="84"/>
      <c r="L21" s="5"/>
    </row>
    <row r="22" spans="1:12" ht="16.5" thickBot="1">
      <c r="A22" s="242">
        <v>812</v>
      </c>
      <c r="B22" s="214">
        <v>17</v>
      </c>
      <c r="C22" s="237" t="str">
        <f>VLOOKUP(A22,'лыжи командная и база'!$A$4:$C263,2,FALSE)</f>
        <v>Ситников Николай</v>
      </c>
      <c r="D22" s="237" t="str">
        <f>VLOOKUP(A22,'лыжи командная и база'!$A$4:$C263,3,FALSE)</f>
        <v>Сердобский</v>
      </c>
      <c r="E22" s="238">
        <v>0.015104166666666667</v>
      </c>
      <c r="F22" s="239">
        <v>0.00555555555555555</v>
      </c>
      <c r="G22" s="238">
        <f t="shared" si="0"/>
        <v>0.009548611111111117</v>
      </c>
      <c r="H22" s="98">
        <v>15</v>
      </c>
      <c r="I22" s="11">
        <f t="shared" si="1"/>
        <v>66</v>
      </c>
      <c r="K22" s="84"/>
      <c r="L22" s="5"/>
    </row>
    <row r="23" spans="1:12" ht="16.5" thickBot="1">
      <c r="A23" s="18">
        <v>1705</v>
      </c>
      <c r="B23" s="236">
        <v>30</v>
      </c>
      <c r="C23" s="237" t="str">
        <f>VLOOKUP(A23,'лыжи командная и база'!$A$4:$C179,2,FALSE)</f>
        <v>Рамеев Рифат</v>
      </c>
      <c r="D23" s="237" t="str">
        <f>VLOOKUP(A23,'лыжи командная и база'!$A$4:$C179,3,FALSE)</f>
        <v>Каменский</v>
      </c>
      <c r="E23" s="238">
        <v>0.0196875</v>
      </c>
      <c r="F23" s="241">
        <v>0.0100694444444444</v>
      </c>
      <c r="G23" s="238">
        <f t="shared" si="0"/>
        <v>0.0096180555555556</v>
      </c>
      <c r="H23" s="98">
        <v>16</v>
      </c>
      <c r="I23" s="11">
        <f t="shared" si="1"/>
        <v>65</v>
      </c>
      <c r="K23" s="84"/>
      <c r="L23" s="5"/>
    </row>
    <row r="24" spans="1:12" ht="16.5" thickBot="1">
      <c r="A24" s="18">
        <v>2205</v>
      </c>
      <c r="B24" s="214">
        <v>34</v>
      </c>
      <c r="C24" s="237" t="str">
        <f>VLOOKUP(A24,'лыжи командная и база'!$A$4:$C183,2,FALSE)</f>
        <v>Масленников Денис</v>
      </c>
      <c r="D24" s="237" t="str">
        <f>VLOOKUP(A24,'лыжи командная и база'!$A$4:$C183,3,FALSE)</f>
        <v>Мокшанский</v>
      </c>
      <c r="E24" s="238">
        <v>0.021400462962962965</v>
      </c>
      <c r="F24" s="241">
        <v>0.0114583333333333</v>
      </c>
      <c r="G24" s="238">
        <f t="shared" si="0"/>
        <v>0.009942129629629665</v>
      </c>
      <c r="H24" s="98">
        <v>17</v>
      </c>
      <c r="I24" s="11">
        <f t="shared" si="1"/>
        <v>64</v>
      </c>
      <c r="K24" s="84"/>
      <c r="L24" s="5"/>
    </row>
    <row r="25" spans="1:12" ht="16.5" thickBot="1">
      <c r="A25" s="242">
        <v>1509</v>
      </c>
      <c r="B25" s="236">
        <v>27</v>
      </c>
      <c r="C25" s="237" t="str">
        <f>VLOOKUP(A25,'лыжи командная и база'!$A$4:$C176,2,FALSE)</f>
        <v>Токарев Александр</v>
      </c>
      <c r="D25" s="237" t="str">
        <f>VLOOKUP(A25,'лыжи командная и база'!$A$4:$C176,3,FALSE)</f>
        <v>Нижнеломовский</v>
      </c>
      <c r="E25" s="238">
        <v>0.01898148148148148</v>
      </c>
      <c r="F25" s="239">
        <v>0.00902777777777778</v>
      </c>
      <c r="G25" s="238">
        <f t="shared" si="0"/>
        <v>0.0099537037037037</v>
      </c>
      <c r="H25" s="98">
        <v>18</v>
      </c>
      <c r="I25" s="11">
        <f t="shared" si="1"/>
        <v>63</v>
      </c>
      <c r="K25" s="84"/>
      <c r="L25" s="5"/>
    </row>
    <row r="26" spans="1:12" ht="16.5" thickBot="1">
      <c r="A26" s="18">
        <v>3102</v>
      </c>
      <c r="B26" s="214">
        <v>48</v>
      </c>
      <c r="C26" s="237" t="str">
        <f>VLOOKUP(A26,'лыжи командная и база'!$A$4:$C185,2,FALSE)</f>
        <v>Уткин Сергей</v>
      </c>
      <c r="D26" s="237" t="str">
        <f>VLOOKUP(A26,'лыжи командная и база'!$A$4:$C185,3,FALSE)</f>
        <v>Бессоновский</v>
      </c>
      <c r="E26" s="238">
        <v>0.026284722222222223</v>
      </c>
      <c r="F26" s="241">
        <v>0.0163194444444444</v>
      </c>
      <c r="G26" s="238">
        <f t="shared" si="0"/>
        <v>0.009965277777777823</v>
      </c>
      <c r="H26" s="98">
        <v>19</v>
      </c>
      <c r="I26" s="11">
        <f t="shared" si="1"/>
        <v>62</v>
      </c>
      <c r="K26" s="84"/>
      <c r="L26" s="5"/>
    </row>
    <row r="27" spans="1:12" ht="16.5" thickBot="1">
      <c r="A27" s="242">
        <v>1615</v>
      </c>
      <c r="B27" s="214">
        <v>28</v>
      </c>
      <c r="C27" s="237" t="str">
        <f>VLOOKUP(A27,'лыжи командная и база'!$A$4:$C177,2,FALSE)</f>
        <v>Казаков Максим</v>
      </c>
      <c r="D27" s="237" t="str">
        <f>VLOOKUP(A27,'лыжи командная и база'!$A$4:$C177,3,FALSE)</f>
        <v>Башмаковский</v>
      </c>
      <c r="E27" s="238">
        <v>0.019386574074074073</v>
      </c>
      <c r="F27" s="241">
        <v>0.009375</v>
      </c>
      <c r="G27" s="238">
        <f t="shared" si="0"/>
        <v>0.010011574074074074</v>
      </c>
      <c r="H27" s="98">
        <v>20</v>
      </c>
      <c r="I27" s="11">
        <f t="shared" si="1"/>
        <v>61</v>
      </c>
      <c r="K27" s="84"/>
      <c r="L27" s="5"/>
    </row>
    <row r="28" spans="1:12" ht="16.5" thickBot="1">
      <c r="A28" s="242">
        <v>404</v>
      </c>
      <c r="B28" s="236">
        <v>8</v>
      </c>
      <c r="C28" s="237" t="str">
        <f>VLOOKUP(A28,'лыжи командная и база'!$A$4:$C254,2,FALSE)</f>
        <v>Тычков Дмитрий</v>
      </c>
      <c r="D28" s="237" t="str">
        <f>VLOOKUP(A28,'лыжи командная и база'!$A$4:$C254,3,FALSE)</f>
        <v>Кузнецкий</v>
      </c>
      <c r="E28" s="238">
        <v>0.012534722222222223</v>
      </c>
      <c r="F28" s="241">
        <v>0.00243055555555555</v>
      </c>
      <c r="G28" s="238">
        <f t="shared" si="0"/>
        <v>0.010104166666666673</v>
      </c>
      <c r="H28" s="98">
        <v>21</v>
      </c>
      <c r="I28" s="11">
        <f t="shared" si="1"/>
        <v>60</v>
      </c>
      <c r="K28" s="84"/>
      <c r="L28" s="5"/>
    </row>
    <row r="29" spans="1:12" ht="16.5" thickBot="1">
      <c r="A29" s="242">
        <v>1508</v>
      </c>
      <c r="B29" s="214">
        <v>26</v>
      </c>
      <c r="C29" s="237" t="str">
        <f>VLOOKUP(A29,'лыжи командная и база'!$A$4:$C175,2,FALSE)</f>
        <v>Попов Андрей</v>
      </c>
      <c r="D29" s="237" t="str">
        <f>VLOOKUP(A29,'лыжи командная и база'!$A$4:$C175,3,FALSE)</f>
        <v>Нижнеломовский</v>
      </c>
      <c r="E29" s="238">
        <v>0.01909722222222222</v>
      </c>
      <c r="F29" s="241">
        <v>0.00868055555555555</v>
      </c>
      <c r="G29" s="238">
        <f t="shared" si="0"/>
        <v>0.01041666666666667</v>
      </c>
      <c r="H29" s="98">
        <v>22</v>
      </c>
      <c r="I29" s="11">
        <f t="shared" si="1"/>
        <v>59</v>
      </c>
      <c r="K29" s="84"/>
      <c r="L29" s="5"/>
    </row>
    <row r="30" spans="1:12" ht="16.5" thickBot="1">
      <c r="A30" s="242">
        <v>1307</v>
      </c>
      <c r="B30" s="236">
        <v>23</v>
      </c>
      <c r="C30" s="237" t="str">
        <f>VLOOKUP(A30,'лыжи командная и база'!$A$4:$C172,2,FALSE)</f>
        <v>Суздальцев Владимир</v>
      </c>
      <c r="D30" s="237" t="str">
        <f>VLOOKUP(A30,'лыжи командная и база'!$A$4:$C172,3,FALSE)</f>
        <v>Пачелмский</v>
      </c>
      <c r="E30" s="238">
        <v>0.018078703703703704</v>
      </c>
      <c r="F30" s="239">
        <v>0.00763888888888889</v>
      </c>
      <c r="G30" s="238">
        <f t="shared" si="0"/>
        <v>0.010439814814814815</v>
      </c>
      <c r="H30" s="98">
        <v>23</v>
      </c>
      <c r="I30" s="11">
        <f t="shared" si="1"/>
        <v>58</v>
      </c>
      <c r="K30" s="84"/>
      <c r="L30" s="5"/>
    </row>
    <row r="31" spans="1:12" ht="16.5" thickBot="1">
      <c r="A31" s="242">
        <v>707</v>
      </c>
      <c r="B31" s="214">
        <v>15</v>
      </c>
      <c r="C31" s="237" t="str">
        <f>VLOOKUP(A31,'лыжи командная и база'!$A$4:$C261,2,FALSE)</f>
        <v>Перегудов Руслан</v>
      </c>
      <c r="D31" s="237" t="str">
        <f>VLOOKUP(A31,'лыжи командная и база'!$A$4:$C261,3,FALSE)</f>
        <v>Земетчинский</v>
      </c>
      <c r="E31" s="238">
        <v>0.015416666666666667</v>
      </c>
      <c r="F31" s="239">
        <v>0.00486111111111111</v>
      </c>
      <c r="G31" s="238">
        <f t="shared" si="0"/>
        <v>0.010555555555555558</v>
      </c>
      <c r="H31" s="98">
        <v>24</v>
      </c>
      <c r="I31" s="11">
        <f t="shared" si="1"/>
        <v>57</v>
      </c>
      <c r="K31" s="84"/>
      <c r="L31" s="5"/>
    </row>
    <row r="32" spans="1:9" ht="16.5" thickBot="1">
      <c r="A32" s="240">
        <v>810</v>
      </c>
      <c r="B32" s="236">
        <v>16</v>
      </c>
      <c r="C32" s="237" t="str">
        <f>VLOOKUP(A32,'лыжи командная и база'!$A$4:$C262,2,FALSE)</f>
        <v>Нестеров Владимир</v>
      </c>
      <c r="D32" s="237" t="str">
        <f>VLOOKUP(A32,'лыжи командная и база'!$A$4:$C262,3,FALSE)</f>
        <v>Сердобский</v>
      </c>
      <c r="E32" s="238">
        <v>0.01582175925925926</v>
      </c>
      <c r="F32" s="241">
        <v>0.00520833333333333</v>
      </c>
      <c r="G32" s="238">
        <f t="shared" si="0"/>
        <v>0.010613425925925932</v>
      </c>
      <c r="H32" s="98">
        <v>25</v>
      </c>
      <c r="I32" s="11">
        <f t="shared" si="1"/>
        <v>56</v>
      </c>
    </row>
    <row r="33" spans="1:9" ht="16.5" thickBot="1">
      <c r="A33" s="240">
        <v>1413</v>
      </c>
      <c r="B33" s="214">
        <v>25</v>
      </c>
      <c r="C33" s="237" t="str">
        <f>VLOOKUP(A33,'лыжи командная и база'!$A$4:$C174,2,FALSE)</f>
        <v>Горшков Дмитрий</v>
      </c>
      <c r="D33" s="237" t="str">
        <f>VLOOKUP(A33,'лыжи командная и база'!$A$4:$C174,3,FALSE)</f>
        <v>Малосердобинский</v>
      </c>
      <c r="E33" s="238">
        <v>0.01898148148148148</v>
      </c>
      <c r="F33" s="239">
        <v>0.00833333333333333</v>
      </c>
      <c r="G33" s="238">
        <f t="shared" si="0"/>
        <v>0.010648148148148151</v>
      </c>
      <c r="H33" s="98">
        <v>26</v>
      </c>
      <c r="I33" s="11">
        <f t="shared" si="1"/>
        <v>55</v>
      </c>
    </row>
    <row r="34" spans="1:9" ht="16.5" thickBot="1">
      <c r="A34" s="242">
        <v>114</v>
      </c>
      <c r="B34" s="236">
        <v>3</v>
      </c>
      <c r="C34" s="237" t="str">
        <f>VLOOKUP(A34,'лыжи командная и база'!$A$4:$C152,2,FALSE)</f>
        <v>Лявин Владимир</v>
      </c>
      <c r="D34" s="237" t="str">
        <f>VLOOKUP(A34,'лыжи командная и база'!$A$4:$C152,3,FALSE)</f>
        <v>Белинский</v>
      </c>
      <c r="E34" s="238">
        <v>0.01136574074074074</v>
      </c>
      <c r="F34" s="239">
        <v>0.0006944444444444445</v>
      </c>
      <c r="G34" s="238">
        <f t="shared" si="0"/>
        <v>0.010671296296296297</v>
      </c>
      <c r="H34" s="98">
        <v>27</v>
      </c>
      <c r="I34" s="11">
        <f t="shared" si="1"/>
        <v>54</v>
      </c>
    </row>
    <row r="35" spans="1:9" ht="15.75" thickBot="1">
      <c r="A35" s="18">
        <v>212</v>
      </c>
      <c r="B35" s="243">
        <v>56</v>
      </c>
      <c r="C35" s="243" t="s">
        <v>377</v>
      </c>
      <c r="D35" s="243"/>
      <c r="E35" s="244">
        <v>0.029976851851851852</v>
      </c>
      <c r="F35" s="241">
        <v>0.0190972222222224</v>
      </c>
      <c r="G35" s="238">
        <f t="shared" si="0"/>
        <v>0.010879629629629451</v>
      </c>
      <c r="H35" s="98">
        <v>28</v>
      </c>
      <c r="I35" s="11">
        <f t="shared" si="1"/>
        <v>53</v>
      </c>
    </row>
    <row r="36" spans="1:9" ht="16.5" thickBot="1">
      <c r="A36" s="18">
        <v>2512</v>
      </c>
      <c r="B36" s="236">
        <v>39</v>
      </c>
      <c r="C36" s="237" t="str">
        <f>VLOOKUP(A36,'лыжи командная и база'!$A$4:$C185,2,FALSE)</f>
        <v>Кульков С.</v>
      </c>
      <c r="D36" s="237" t="str">
        <f>VLOOKUP(A36,'лыжи командная и база'!$A$4:$C185,3,FALSE)</f>
        <v>Никольский</v>
      </c>
      <c r="E36" s="238">
        <v>0.02407407407407407</v>
      </c>
      <c r="F36" s="239">
        <v>0.0131944444444444</v>
      </c>
      <c r="G36" s="238">
        <f t="shared" si="0"/>
        <v>0.010879629629629671</v>
      </c>
      <c r="H36" s="98">
        <v>29</v>
      </c>
      <c r="I36" s="11">
        <f t="shared" si="1"/>
        <v>52</v>
      </c>
    </row>
    <row r="37" spans="1:9" ht="16.5" thickBot="1">
      <c r="A37" s="18">
        <v>3308</v>
      </c>
      <c r="B37" s="214">
        <v>52</v>
      </c>
      <c r="C37" s="237" t="str">
        <f>VLOOKUP(A37,'лыжи командная и база'!$A$4:$C250,2,FALSE)</f>
        <v>Кручинкин Илья</v>
      </c>
      <c r="D37" s="237" t="str">
        <f>VLOOKUP(A37,'лыжи командная и база'!$A$4:$C250,3,FALSE)</f>
        <v>Шемышейский</v>
      </c>
      <c r="E37" s="238">
        <v>0.028599537037037034</v>
      </c>
      <c r="F37" s="241">
        <v>0.0177083333333333</v>
      </c>
      <c r="G37" s="238">
        <f t="shared" si="0"/>
        <v>0.010891203703703733</v>
      </c>
      <c r="H37" s="98">
        <v>30</v>
      </c>
      <c r="I37" s="11">
        <f t="shared" si="1"/>
        <v>51</v>
      </c>
    </row>
    <row r="38" spans="1:9" ht="16.5" thickBot="1">
      <c r="A38" s="18">
        <v>3309</v>
      </c>
      <c r="B38" s="236">
        <v>53</v>
      </c>
      <c r="C38" s="237" t="str">
        <f>VLOOKUP(A38,'лыжи командная и база'!$A$4:$C251,2,FALSE)</f>
        <v>Самаркин Андрей</v>
      </c>
      <c r="D38" s="237" t="str">
        <f>VLOOKUP(A38,'лыжи командная и база'!$A$4:$C251,3,FALSE)</f>
        <v>Шемышейский</v>
      </c>
      <c r="E38" s="238">
        <v>0.0290162037037037</v>
      </c>
      <c r="F38" s="239">
        <v>0.0180555555555555</v>
      </c>
      <c r="G38" s="238">
        <f t="shared" si="0"/>
        <v>0.010960648148148202</v>
      </c>
      <c r="H38" s="98">
        <v>31</v>
      </c>
      <c r="I38" s="11">
        <f t="shared" si="1"/>
        <v>50</v>
      </c>
    </row>
    <row r="39" spans="1:9" ht="16.5" thickBot="1">
      <c r="A39" s="18">
        <v>3203</v>
      </c>
      <c r="B39" s="214">
        <v>51</v>
      </c>
      <c r="C39" s="237" t="str">
        <f>VLOOKUP(A39,'лыжи командная и база'!$A$4:$C185,2,FALSE)</f>
        <v>Балябин Максим</v>
      </c>
      <c r="D39" s="237" t="str">
        <f>VLOOKUP(A39,'лыжи командная и база'!$A$4:$C185,3,FALSE)</f>
        <v>Пензенский</v>
      </c>
      <c r="E39" s="238">
        <v>0.028356481481481483</v>
      </c>
      <c r="F39" s="239">
        <v>0.0173611111111111</v>
      </c>
      <c r="G39" s="238">
        <f t="shared" si="0"/>
        <v>0.010995370370370381</v>
      </c>
      <c r="H39" s="98">
        <v>32</v>
      </c>
      <c r="I39" s="11">
        <f t="shared" si="1"/>
        <v>49</v>
      </c>
    </row>
    <row r="40" spans="1:9" ht="16.5" thickBot="1">
      <c r="A40" s="18">
        <v>3104</v>
      </c>
      <c r="B40" s="236">
        <v>49</v>
      </c>
      <c r="C40" s="237" t="str">
        <f>VLOOKUP(A40,'лыжи командная и база'!$A$4:$C185,2,FALSE)</f>
        <v>Карташов Александр</v>
      </c>
      <c r="D40" s="237" t="str">
        <f>VLOOKUP(A40,'лыжи командная и база'!$A$4:$C185,3,FALSE)</f>
        <v>Бессоновский</v>
      </c>
      <c r="E40" s="238">
        <v>0.027719907407407405</v>
      </c>
      <c r="F40" s="239">
        <v>0.0166666666666666</v>
      </c>
      <c r="G40" s="238">
        <f aca="true" t="shared" si="2" ref="G40:G60">E40-F40</f>
        <v>0.011053240740740804</v>
      </c>
      <c r="H40" s="98">
        <v>33</v>
      </c>
      <c r="I40" s="11">
        <f t="shared" si="1"/>
        <v>48</v>
      </c>
    </row>
    <row r="41" spans="1:9" ht="16.5" thickBot="1">
      <c r="A41" s="242">
        <v>706</v>
      </c>
      <c r="B41" s="214">
        <v>14</v>
      </c>
      <c r="C41" s="237" t="str">
        <f>VLOOKUP(A41,'лыжи командная и база'!$A$4:$C260,2,FALSE)</f>
        <v>Комаров Михаил</v>
      </c>
      <c r="D41" s="237" t="str">
        <f>VLOOKUP(A41,'лыжи командная и база'!$A$4:$C260,3,FALSE)</f>
        <v>Земетчинский</v>
      </c>
      <c r="E41" s="238">
        <v>0.015578703703703704</v>
      </c>
      <c r="F41" s="241">
        <v>0.00451388888888889</v>
      </c>
      <c r="G41" s="238">
        <f t="shared" si="2"/>
        <v>0.011064814814814814</v>
      </c>
      <c r="H41" s="98">
        <v>34</v>
      </c>
      <c r="I41" s="11">
        <f t="shared" si="1"/>
        <v>47</v>
      </c>
    </row>
    <row r="42" spans="1:9" ht="16.5" thickBot="1">
      <c r="A42" s="18">
        <v>2811</v>
      </c>
      <c r="B42" s="236">
        <v>43</v>
      </c>
      <c r="C42" s="237" t="str">
        <f>VLOOKUP(A42,'лыжи командная и база'!$A$4:$C185,2,FALSE)</f>
        <v>Каплин Константин</v>
      </c>
      <c r="D42" s="237" t="str">
        <f>VLOOKUP(A42,'лыжи командная и база'!$A$4:$C185,3,FALSE)</f>
        <v>Тамалинский</v>
      </c>
      <c r="E42" s="238">
        <v>0.02578703703703704</v>
      </c>
      <c r="F42" s="239">
        <v>0.0145833333333333</v>
      </c>
      <c r="G42" s="238">
        <f t="shared" si="2"/>
        <v>0.011203703703703738</v>
      </c>
      <c r="H42" s="98">
        <v>35</v>
      </c>
      <c r="I42" s="11">
        <f t="shared" si="1"/>
        <v>46</v>
      </c>
    </row>
    <row r="43" spans="1:9" ht="16.5" thickBot="1">
      <c r="A43" s="18">
        <v>2010</v>
      </c>
      <c r="B43" s="214">
        <v>33</v>
      </c>
      <c r="C43" s="237" t="str">
        <f>VLOOKUP(A43,'лыжи командная и база'!$A$4:$C182,2,FALSE)</f>
        <v>Данилов Юрий</v>
      </c>
      <c r="D43" s="237" t="str">
        <f>VLOOKUP(A43,'лыжи командная и база'!$A$4:$C182,3,FALSE)</f>
        <v>Городищенский</v>
      </c>
      <c r="E43" s="238">
        <v>0.022372685185185186</v>
      </c>
      <c r="F43" s="239">
        <v>0.0111111111111111</v>
      </c>
      <c r="G43" s="238">
        <f t="shared" si="2"/>
        <v>0.011261574074074087</v>
      </c>
      <c r="H43" s="98">
        <v>36</v>
      </c>
      <c r="I43" s="11">
        <f t="shared" si="1"/>
        <v>45</v>
      </c>
    </row>
    <row r="44" spans="1:9" ht="16.5" thickBot="1">
      <c r="A44" s="242">
        <v>406</v>
      </c>
      <c r="B44" s="236">
        <v>9</v>
      </c>
      <c r="C44" s="237" t="str">
        <f>VLOOKUP(A44,'лыжи командная и база'!$A$4:$C255,2,FALSE)</f>
        <v>Ульянов Эдуард</v>
      </c>
      <c r="D44" s="237" t="str">
        <f>VLOOKUP(A44,'лыжи командная и база'!$A$4:$C255,3,FALSE)</f>
        <v>Кузнецкий</v>
      </c>
      <c r="E44" s="238">
        <v>0.01423611111111111</v>
      </c>
      <c r="F44" s="239">
        <v>0.00277777777777778</v>
      </c>
      <c r="G44" s="238">
        <f t="shared" si="2"/>
        <v>0.01145833333333333</v>
      </c>
      <c r="H44" s="98">
        <v>37</v>
      </c>
      <c r="I44" s="11">
        <f t="shared" si="1"/>
        <v>44</v>
      </c>
    </row>
    <row r="45" spans="1:9" ht="16.5" thickBot="1">
      <c r="A45" s="240">
        <v>113</v>
      </c>
      <c r="B45" s="214">
        <v>2</v>
      </c>
      <c r="C45" s="237" t="str">
        <f>VLOOKUP(A45,'лыжи командная и база'!$A$4:$C151,2,FALSE)</f>
        <v>Безгубов Александр</v>
      </c>
      <c r="D45" s="237" t="str">
        <f>VLOOKUP(A45,'лыжи командная и база'!$A$4:$C151,3,FALSE)</f>
        <v>Белинский</v>
      </c>
      <c r="E45" s="238">
        <v>0.011921296296296298</v>
      </c>
      <c r="F45" s="241">
        <v>0.00034722222222222224</v>
      </c>
      <c r="G45" s="238">
        <f t="shared" si="2"/>
        <v>0.011574074074074075</v>
      </c>
      <c r="H45" s="98">
        <v>38</v>
      </c>
      <c r="I45" s="11">
        <f t="shared" si="1"/>
        <v>43</v>
      </c>
    </row>
    <row r="46" spans="1:9" ht="16.5" thickBot="1">
      <c r="A46" s="18">
        <v>2601</v>
      </c>
      <c r="B46" s="236">
        <v>40</v>
      </c>
      <c r="C46" s="237" t="str">
        <f>VLOOKUP(A46,'лыжи командная и база'!$A$4:$C185,2,FALSE)</f>
        <v>Кузнецов Евгений</v>
      </c>
      <c r="D46" s="237" t="str">
        <f>VLOOKUP(A46,'лыжи командная и база'!$A$4:$C185,3,FALSE)</f>
        <v>Лопатинский</v>
      </c>
      <c r="E46" s="238">
        <v>0.02534722222222222</v>
      </c>
      <c r="F46" s="241">
        <v>0.0135416666666666</v>
      </c>
      <c r="G46" s="238">
        <f t="shared" si="2"/>
        <v>0.01180555555555562</v>
      </c>
      <c r="H46" s="98">
        <v>39</v>
      </c>
      <c r="I46" s="11">
        <f t="shared" si="1"/>
        <v>42</v>
      </c>
    </row>
    <row r="47" spans="1:9" ht="16.5" thickBot="1">
      <c r="A47" s="242">
        <v>1106</v>
      </c>
      <c r="B47" s="214">
        <v>19</v>
      </c>
      <c r="C47" s="237" t="str">
        <f>VLOOKUP(A47,'лыжи командная и база'!$A$4:$C265,2,FALSE)</f>
        <v>Барков Михаил</v>
      </c>
      <c r="D47" s="237" t="str">
        <f>VLOOKUP(A47,'лыжи командная и база'!$A$4:$C265,3,FALSE)</f>
        <v>Бековский</v>
      </c>
      <c r="E47" s="238">
        <v>0.01851851851851852</v>
      </c>
      <c r="F47" s="239">
        <v>0.00625</v>
      </c>
      <c r="G47" s="238">
        <f t="shared" si="2"/>
        <v>0.01226851851851852</v>
      </c>
      <c r="H47" s="98">
        <v>40</v>
      </c>
      <c r="I47" s="11">
        <f t="shared" si="1"/>
        <v>41</v>
      </c>
    </row>
    <row r="48" spans="1:9" ht="16.5" thickBot="1">
      <c r="A48" s="242">
        <v>1101</v>
      </c>
      <c r="B48" s="236">
        <v>18</v>
      </c>
      <c r="C48" s="237" t="str">
        <f>VLOOKUP(A48,'лыжи командная и база'!$A$4:$C264,2,FALSE)</f>
        <v>Калякин Роман</v>
      </c>
      <c r="D48" s="237" t="str">
        <f>VLOOKUP(A48,'лыжи командная и база'!$A$4:$C264,3,FALSE)</f>
        <v>Бековский</v>
      </c>
      <c r="E48" s="238">
        <v>0.018865740740740742</v>
      </c>
      <c r="F48" s="241">
        <v>0.00590277777777778</v>
      </c>
      <c r="G48" s="238">
        <f t="shared" si="2"/>
        <v>0.01296296296296296</v>
      </c>
      <c r="H48" s="98">
        <v>41</v>
      </c>
      <c r="I48" s="11">
        <f t="shared" si="1"/>
        <v>40</v>
      </c>
    </row>
    <row r="49" spans="1:9" ht="16.5" thickBot="1">
      <c r="A49" s="18">
        <v>3410</v>
      </c>
      <c r="B49" s="214">
        <v>54</v>
      </c>
      <c r="C49" s="237" t="str">
        <f>VLOOKUP(A49,'лыжи командная и база'!$A$4:$C185,2,FALSE)</f>
        <v>Кузнецов Дмитрий</v>
      </c>
      <c r="D49" s="237" t="str">
        <f>VLOOKUP(A49,'лыжи командная и база'!$A$4:$C185,3,FALSE)</f>
        <v>Камешкирский</v>
      </c>
      <c r="E49" s="238">
        <v>0.031435185185185184</v>
      </c>
      <c r="F49" s="241">
        <v>0.0184027777777778</v>
      </c>
      <c r="G49" s="238">
        <f t="shared" si="2"/>
        <v>0.013032407407407385</v>
      </c>
      <c r="H49" s="98">
        <v>42</v>
      </c>
      <c r="I49" s="11">
        <f t="shared" si="1"/>
        <v>39</v>
      </c>
    </row>
    <row r="50" spans="1:9" ht="16.5" thickBot="1">
      <c r="A50" s="18">
        <v>2410</v>
      </c>
      <c r="B50" s="236">
        <v>36</v>
      </c>
      <c r="C50" s="237" t="str">
        <f>VLOOKUP(A50,'лыжи командная и база'!$A$4:$C185,2,FALSE)</f>
        <v>Улданов Рустам</v>
      </c>
      <c r="D50" s="237" t="str">
        <f>VLOOKUP(A50,'лыжи командная и база'!$A$4:$C185,3,FALSE)</f>
        <v>Сосновоборский</v>
      </c>
      <c r="E50" s="238">
        <v>0.02533564814814815</v>
      </c>
      <c r="F50" s="241">
        <v>0.0121527777777778</v>
      </c>
      <c r="G50" s="238">
        <f t="shared" si="2"/>
        <v>0.013182870370370348</v>
      </c>
      <c r="H50" s="98">
        <v>43</v>
      </c>
      <c r="I50" s="11">
        <f t="shared" si="1"/>
        <v>38</v>
      </c>
    </row>
    <row r="51" spans="1:9" ht="16.5" thickBot="1">
      <c r="A51" s="18">
        <v>2411</v>
      </c>
      <c r="B51" s="214">
        <v>37</v>
      </c>
      <c r="C51" s="237" t="str">
        <f>VLOOKUP(A51,'лыжи командная и база'!$A$4:$C185,2,FALSE)</f>
        <v>Улданов Равиль</v>
      </c>
      <c r="D51" s="237" t="str">
        <f>VLOOKUP(A51,'лыжи командная и база'!$A$4:$C185,3,FALSE)</f>
        <v>Сосновоборский</v>
      </c>
      <c r="E51" s="238">
        <v>0.026099537037037036</v>
      </c>
      <c r="F51" s="239">
        <v>0.0125</v>
      </c>
      <c r="G51" s="238">
        <f t="shared" si="2"/>
        <v>0.013599537037037035</v>
      </c>
      <c r="H51" s="98">
        <v>44</v>
      </c>
      <c r="I51" s="11">
        <f t="shared" si="1"/>
        <v>37</v>
      </c>
    </row>
    <row r="52" spans="1:9" ht="16.5" thickBot="1">
      <c r="A52" s="18">
        <v>2910</v>
      </c>
      <c r="B52" s="236">
        <v>44</v>
      </c>
      <c r="C52" s="237" t="str">
        <f>VLOOKUP(A52,'лыжи командная и база'!$A$4:$C185,2,FALSE)</f>
        <v>Луковников Евгений</v>
      </c>
      <c r="D52" s="237" t="str">
        <f>VLOOKUP(A52,'лыжи командная и база'!$A$4:$C185,3,FALSE)</f>
        <v>Вадинский</v>
      </c>
      <c r="E52" s="238">
        <v>0.029166666666666664</v>
      </c>
      <c r="F52" s="241">
        <v>0.0149305555555555</v>
      </c>
      <c r="G52" s="238">
        <f t="shared" si="2"/>
        <v>0.014236111111111163</v>
      </c>
      <c r="H52" s="98">
        <v>45</v>
      </c>
      <c r="I52" s="11">
        <f t="shared" si="1"/>
        <v>36</v>
      </c>
    </row>
    <row r="53" spans="1:9" ht="16.5" thickBot="1">
      <c r="A53" s="18">
        <v>2911</v>
      </c>
      <c r="B53" s="214">
        <v>45</v>
      </c>
      <c r="C53" s="237" t="str">
        <f>VLOOKUP(A53,'лыжи командная и база'!$A$4:$C185,2,FALSE)</f>
        <v>Карасев Владимир</v>
      </c>
      <c r="D53" s="237" t="str">
        <f>VLOOKUP(A53,'лыжи командная и база'!$A$4:$C185,3,FALSE)</f>
        <v>Вадинский</v>
      </c>
      <c r="E53" s="238">
        <v>0.030844907407407404</v>
      </c>
      <c r="F53" s="239">
        <v>0.0152777777777778</v>
      </c>
      <c r="G53" s="238">
        <f t="shared" si="2"/>
        <v>0.015567129629629604</v>
      </c>
      <c r="H53" s="98">
        <v>46</v>
      </c>
      <c r="I53" s="11">
        <f t="shared" si="1"/>
        <v>35</v>
      </c>
    </row>
    <row r="54" spans="1:9" ht="16.5" thickBot="1">
      <c r="A54" s="240">
        <v>607</v>
      </c>
      <c r="B54" s="236">
        <v>13</v>
      </c>
      <c r="C54" s="237" t="str">
        <f>VLOOKUP(A54,'лыжи командная и база'!$A$4:$C259,2,FALSE)</f>
        <v>Катаев Дмитрий</v>
      </c>
      <c r="D54" s="237" t="str">
        <f>VLOOKUP(A54,'лыжи командная и база'!$A$4:$C259,3,FALSE)</f>
        <v>Иссинский</v>
      </c>
      <c r="E54" s="238">
        <v>0.019768518518518515</v>
      </c>
      <c r="F54" s="239">
        <v>0.00416666666666666</v>
      </c>
      <c r="G54" s="238">
        <f t="shared" si="2"/>
        <v>0.015601851851851856</v>
      </c>
      <c r="H54" s="98">
        <v>47</v>
      </c>
      <c r="I54" s="11">
        <f t="shared" si="1"/>
        <v>34</v>
      </c>
    </row>
    <row r="55" spans="1:9" ht="16.5" thickBot="1">
      <c r="A55" s="240">
        <v>604</v>
      </c>
      <c r="B55" s="214">
        <v>12</v>
      </c>
      <c r="C55" s="237" t="str">
        <f>VLOOKUP(A55,'лыжи командная и база'!$A$4:$C258,2,FALSE)</f>
        <v>Бикмаев Тамерлан</v>
      </c>
      <c r="D55" s="237" t="str">
        <f>VLOOKUP(A55,'лыжи командная и база'!$A$4:$C258,3,FALSE)</f>
        <v>Иссинский</v>
      </c>
      <c r="E55" s="238">
        <v>0.0203125</v>
      </c>
      <c r="F55" s="241">
        <v>0.00381944444444444</v>
      </c>
      <c r="G55" s="238">
        <f t="shared" si="2"/>
        <v>0.01649305555555556</v>
      </c>
      <c r="H55" s="98">
        <v>48</v>
      </c>
      <c r="I55" s="11">
        <f t="shared" si="1"/>
        <v>33</v>
      </c>
    </row>
    <row r="56" spans="1:9" ht="16.5" thickBot="1">
      <c r="A56" s="18">
        <v>3008</v>
      </c>
      <c r="B56" s="236">
        <v>47</v>
      </c>
      <c r="C56" s="237" t="str">
        <f>VLOOKUP(A56,'лыжи командная и база'!$A$4:$C185,2,FALSE)</f>
        <v>Калашников Олег</v>
      </c>
      <c r="D56" s="237" t="str">
        <f>VLOOKUP(A56,'лыжи командная и база'!$A$4:$C185,3,FALSE)</f>
        <v>Наровчатский</v>
      </c>
      <c r="E56" s="238">
        <v>0.034722222222222224</v>
      </c>
      <c r="F56" s="239">
        <v>0.0159722222222222</v>
      </c>
      <c r="G56" s="238">
        <f t="shared" si="2"/>
        <v>0.018750000000000024</v>
      </c>
      <c r="H56" s="98">
        <v>49</v>
      </c>
      <c r="I56" s="11">
        <f t="shared" si="1"/>
        <v>32</v>
      </c>
    </row>
    <row r="57" spans="1:9" ht="16.5" thickBot="1">
      <c r="A57" s="18">
        <v>3009</v>
      </c>
      <c r="B57" s="236">
        <v>46</v>
      </c>
      <c r="C57" s="245" t="str">
        <f>VLOOKUP(A57,'лыжи командная и база'!$A$4:$C185,2,FALSE)</f>
        <v>Кречин Игорь</v>
      </c>
      <c r="D57" s="245" t="str">
        <f>VLOOKUP(A57,'лыжи командная и база'!$A$4:$C185,3,FALSE)</f>
        <v>Наровчатский</v>
      </c>
      <c r="E57" s="246">
        <v>0.0347337962962963</v>
      </c>
      <c r="F57" s="241">
        <v>0.015625</v>
      </c>
      <c r="G57" s="238">
        <f t="shared" si="2"/>
        <v>0.019108796296296297</v>
      </c>
      <c r="H57" s="98">
        <v>50</v>
      </c>
      <c r="I57" s="11">
        <f t="shared" si="1"/>
        <v>31</v>
      </c>
    </row>
    <row r="58" spans="1:9" ht="15.75" thickBot="1">
      <c r="A58" s="18">
        <v>205</v>
      </c>
      <c r="B58" s="18">
        <v>55</v>
      </c>
      <c r="C58" s="1"/>
      <c r="D58" s="1"/>
      <c r="E58" s="234">
        <v>0.030555555555555555</v>
      </c>
      <c r="F58" s="185">
        <v>0.0187500000000001</v>
      </c>
      <c r="G58" s="186">
        <f t="shared" si="2"/>
        <v>0.011805555555555455</v>
      </c>
      <c r="H58" s="98"/>
      <c r="I58" s="11">
        <v>0</v>
      </c>
    </row>
    <row r="59" spans="1:9" ht="15.75" thickBot="1">
      <c r="A59" s="18">
        <v>1414</v>
      </c>
      <c r="B59" s="18">
        <v>57</v>
      </c>
      <c r="C59" s="1" t="s">
        <v>378</v>
      </c>
      <c r="D59" s="1"/>
      <c r="E59" s="234">
        <v>0.030775462962962966</v>
      </c>
      <c r="F59" s="185">
        <v>0.0194444444444447</v>
      </c>
      <c r="G59" s="186">
        <f t="shared" si="2"/>
        <v>0.011331018518518265</v>
      </c>
      <c r="H59" s="98"/>
      <c r="I59" s="11">
        <v>0</v>
      </c>
    </row>
    <row r="60" spans="1:9" ht="16.5" thickBot="1">
      <c r="A60" s="242">
        <v>215</v>
      </c>
      <c r="B60" s="236">
        <v>4</v>
      </c>
      <c r="C60" s="96" t="str">
        <f>VLOOKUP(A60,'лыжи командная и база'!$A$4:$C304,2,FALSE)</f>
        <v>Козлов А.</v>
      </c>
      <c r="D60" s="96" t="str">
        <f>VLOOKUP(A60,'лыжи командная и база'!$A$4:$C304,3,FALSE)</f>
        <v>Колышлейский</v>
      </c>
      <c r="E60" s="186">
        <v>0.012152777777777778</v>
      </c>
      <c r="F60" s="176">
        <v>0.00104166666666667</v>
      </c>
      <c r="G60" s="186">
        <f t="shared" si="2"/>
        <v>0.011111111111111108</v>
      </c>
      <c r="H60" s="98"/>
      <c r="I60" s="11">
        <v>0</v>
      </c>
    </row>
  </sheetData>
  <sheetProtection/>
  <mergeCells count="10">
    <mergeCell ref="F6:F7"/>
    <mergeCell ref="G6:G7"/>
    <mergeCell ref="I6:I7"/>
    <mergeCell ref="A2:E2"/>
    <mergeCell ref="A4:E4"/>
    <mergeCell ref="A5:E5"/>
    <mergeCell ref="A6:A7"/>
    <mergeCell ref="C6:C7"/>
    <mergeCell ref="D6:D7"/>
    <mergeCell ref="E6:E7"/>
  </mergeCells>
  <printOptions horizontalCentered="1"/>
  <pageMargins left="0.2362204724409449" right="0.15748031496062992" top="0.5905511811023623" bottom="0.5905511811023623" header="0.31496062992125984" footer="0.31496062992125984"/>
  <pageSetup fitToHeight="1" fitToWidth="1" horizontalDpi="600" verticalDpi="600" orientation="portrait" paperSize="9" scale="77" r:id="rId1"/>
  <colBreaks count="1" manualBreakCount="1">
    <brk id="6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0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13.00390625" style="0" customWidth="1"/>
    <col min="2" max="2" width="7.28125" style="0" hidden="1" customWidth="1"/>
    <col min="3" max="3" width="39.28125" style="0" customWidth="1"/>
    <col min="4" max="4" width="9.140625" style="0" hidden="1" customWidth="1"/>
    <col min="5" max="5" width="7.7109375" style="0" customWidth="1"/>
    <col min="6" max="6" width="6.28125" style="0" customWidth="1"/>
  </cols>
  <sheetData>
    <row r="1" spans="8:87" ht="16.5" thickBot="1">
      <c r="H1" s="28">
        <v>1</v>
      </c>
      <c r="I1" s="28">
        <v>2</v>
      </c>
      <c r="J1" s="28">
        <v>3</v>
      </c>
      <c r="K1" s="28">
        <v>4</v>
      </c>
      <c r="L1" s="28">
        <v>5</v>
      </c>
      <c r="M1" s="28">
        <v>6</v>
      </c>
      <c r="N1" s="28">
        <v>7</v>
      </c>
      <c r="O1" s="28">
        <v>8</v>
      </c>
      <c r="P1" s="28">
        <v>9</v>
      </c>
      <c r="Q1" s="28">
        <v>10</v>
      </c>
      <c r="R1" s="28">
        <v>11</v>
      </c>
      <c r="S1" s="28">
        <v>12</v>
      </c>
      <c r="T1" s="28">
        <v>13</v>
      </c>
      <c r="U1" s="28">
        <v>14</v>
      </c>
      <c r="V1" s="28">
        <v>15</v>
      </c>
      <c r="W1" s="28">
        <v>16</v>
      </c>
      <c r="X1" s="28">
        <v>17</v>
      </c>
      <c r="Y1" s="28">
        <v>18</v>
      </c>
      <c r="Z1" s="28">
        <v>19</v>
      </c>
      <c r="AA1" s="28">
        <v>20</v>
      </c>
      <c r="AB1" s="28">
        <v>21</v>
      </c>
      <c r="AC1" s="28">
        <v>22</v>
      </c>
      <c r="AD1" s="28">
        <v>23</v>
      </c>
      <c r="AE1" s="28">
        <v>24</v>
      </c>
      <c r="AF1" s="28">
        <v>25</v>
      </c>
      <c r="AG1" s="28">
        <v>26</v>
      </c>
      <c r="AH1" s="28">
        <v>27</v>
      </c>
      <c r="AI1" s="28">
        <v>28</v>
      </c>
      <c r="AJ1" s="28">
        <v>29</v>
      </c>
      <c r="AK1" s="28">
        <v>30</v>
      </c>
      <c r="AL1" s="28">
        <v>31</v>
      </c>
      <c r="AM1" s="28">
        <v>32</v>
      </c>
      <c r="AN1" s="28">
        <v>33</v>
      </c>
      <c r="AO1" s="28">
        <v>34</v>
      </c>
      <c r="AP1" s="28">
        <v>35</v>
      </c>
      <c r="AQ1" s="28">
        <v>36</v>
      </c>
      <c r="AR1" s="28">
        <v>37</v>
      </c>
      <c r="AS1" s="28">
        <v>38</v>
      </c>
      <c r="AT1" s="28">
        <v>39</v>
      </c>
      <c r="AU1" s="28">
        <v>40</v>
      </c>
      <c r="AV1" s="28">
        <v>41</v>
      </c>
      <c r="AW1" s="28">
        <v>42</v>
      </c>
      <c r="AX1" s="28">
        <v>43</v>
      </c>
      <c r="AY1" s="28">
        <v>44</v>
      </c>
      <c r="AZ1" s="28">
        <v>45</v>
      </c>
      <c r="BA1" s="28">
        <v>46</v>
      </c>
      <c r="BB1" s="28">
        <v>47</v>
      </c>
      <c r="BC1" s="28">
        <v>48</v>
      </c>
      <c r="BD1" s="28">
        <v>49</v>
      </c>
      <c r="BE1" s="28">
        <v>50</v>
      </c>
      <c r="BF1" s="28">
        <v>51</v>
      </c>
      <c r="BG1" s="28">
        <v>52</v>
      </c>
      <c r="BH1" s="28">
        <v>53</v>
      </c>
      <c r="BI1" s="28">
        <v>54</v>
      </c>
      <c r="BJ1" s="28">
        <v>55</v>
      </c>
      <c r="BK1" s="28">
        <v>56</v>
      </c>
      <c r="BL1" s="28">
        <v>57</v>
      </c>
      <c r="BM1" s="28">
        <v>58</v>
      </c>
      <c r="BN1" s="28">
        <v>59</v>
      </c>
      <c r="BO1" s="28">
        <v>60</v>
      </c>
      <c r="BP1" s="28">
        <v>61</v>
      </c>
      <c r="BQ1" s="28">
        <v>62</v>
      </c>
      <c r="BR1" s="28">
        <v>63</v>
      </c>
      <c r="BS1" s="28">
        <v>64</v>
      </c>
      <c r="BT1" s="28">
        <v>65</v>
      </c>
      <c r="BU1" s="28">
        <v>66</v>
      </c>
      <c r="BV1" s="28">
        <v>67</v>
      </c>
      <c r="BW1" s="28">
        <v>68</v>
      </c>
      <c r="BX1" s="28">
        <v>69</v>
      </c>
      <c r="BY1" s="28">
        <v>70</v>
      </c>
      <c r="BZ1" s="28">
        <v>71</v>
      </c>
      <c r="CA1" s="28">
        <v>72</v>
      </c>
      <c r="CB1" s="28">
        <v>73</v>
      </c>
      <c r="CC1" s="28">
        <v>74</v>
      </c>
      <c r="CD1" s="28">
        <v>75</v>
      </c>
      <c r="CE1" s="28">
        <v>76</v>
      </c>
      <c r="CF1" s="28">
        <v>77</v>
      </c>
      <c r="CG1" s="28">
        <v>78</v>
      </c>
      <c r="CH1" s="28">
        <v>79</v>
      </c>
      <c r="CI1" s="28">
        <v>80</v>
      </c>
    </row>
    <row r="2" spans="1:87" ht="16.5" thickBot="1">
      <c r="A2" s="306" t="s">
        <v>77</v>
      </c>
      <c r="B2" s="306"/>
      <c r="C2" s="306"/>
      <c r="D2" s="46"/>
      <c r="E2" s="46"/>
      <c r="F2" s="37"/>
      <c r="H2" s="28">
        <v>120</v>
      </c>
      <c r="I2" s="28">
        <v>108</v>
      </c>
      <c r="J2" s="28">
        <v>98</v>
      </c>
      <c r="K2" s="28">
        <v>90</v>
      </c>
      <c r="L2" s="28">
        <v>85</v>
      </c>
      <c r="M2" s="28">
        <v>82</v>
      </c>
      <c r="N2" s="28">
        <v>79</v>
      </c>
      <c r="O2" s="28">
        <v>76</v>
      </c>
      <c r="P2" s="28">
        <v>74</v>
      </c>
      <c r="Q2" s="28">
        <v>72</v>
      </c>
      <c r="R2" s="28">
        <v>70</v>
      </c>
      <c r="S2" s="28">
        <v>69</v>
      </c>
      <c r="T2" s="28">
        <v>68</v>
      </c>
      <c r="U2" s="28">
        <v>67</v>
      </c>
      <c r="V2" s="28">
        <v>66</v>
      </c>
      <c r="W2" s="28">
        <v>65</v>
      </c>
      <c r="X2" s="28">
        <v>64</v>
      </c>
      <c r="Y2" s="28">
        <v>63</v>
      </c>
      <c r="Z2" s="28">
        <v>62</v>
      </c>
      <c r="AA2" s="28">
        <v>61</v>
      </c>
      <c r="AB2" s="28">
        <v>60</v>
      </c>
      <c r="AC2" s="28">
        <v>59</v>
      </c>
      <c r="AD2" s="28">
        <v>58</v>
      </c>
      <c r="AE2" s="28">
        <v>57</v>
      </c>
      <c r="AF2" s="28">
        <v>56</v>
      </c>
      <c r="AG2" s="28">
        <v>55</v>
      </c>
      <c r="AH2" s="28">
        <v>54</v>
      </c>
      <c r="AI2" s="28">
        <v>53</v>
      </c>
      <c r="AJ2" s="28">
        <v>52</v>
      </c>
      <c r="AK2" s="28">
        <v>51</v>
      </c>
      <c r="AL2" s="28">
        <v>50</v>
      </c>
      <c r="AM2" s="28">
        <v>49</v>
      </c>
      <c r="AN2" s="28">
        <v>48</v>
      </c>
      <c r="AO2" s="28">
        <v>47</v>
      </c>
      <c r="AP2" s="28">
        <v>46</v>
      </c>
      <c r="AQ2" s="28">
        <v>45</v>
      </c>
      <c r="AR2" s="28">
        <v>44</v>
      </c>
      <c r="AS2" s="28">
        <v>43</v>
      </c>
      <c r="AT2" s="28">
        <v>42</v>
      </c>
      <c r="AU2" s="28">
        <v>41</v>
      </c>
      <c r="AV2" s="28">
        <v>40</v>
      </c>
      <c r="AW2" s="28">
        <v>39</v>
      </c>
      <c r="AX2" s="28">
        <v>38</v>
      </c>
      <c r="AY2" s="28">
        <v>37</v>
      </c>
      <c r="AZ2" s="28">
        <v>36</v>
      </c>
      <c r="BA2" s="28">
        <v>35</v>
      </c>
      <c r="BB2" s="28">
        <v>34</v>
      </c>
      <c r="BC2" s="28">
        <v>33</v>
      </c>
      <c r="BD2" s="28">
        <v>32</v>
      </c>
      <c r="BE2" s="28">
        <v>31</v>
      </c>
      <c r="BF2" s="28">
        <v>30</v>
      </c>
      <c r="BG2" s="28">
        <v>29</v>
      </c>
      <c r="BH2" s="28">
        <v>28</v>
      </c>
      <c r="BI2" s="28">
        <v>27</v>
      </c>
      <c r="BJ2" s="28">
        <v>26</v>
      </c>
      <c r="BK2" s="28">
        <v>25</v>
      </c>
      <c r="BL2" s="28">
        <v>24</v>
      </c>
      <c r="BM2" s="28">
        <v>23</v>
      </c>
      <c r="BN2" s="28">
        <v>22</v>
      </c>
      <c r="BO2" s="28">
        <v>21</v>
      </c>
      <c r="BP2" s="28">
        <v>20</v>
      </c>
      <c r="BQ2" s="28">
        <v>19</v>
      </c>
      <c r="BR2" s="28">
        <v>18</v>
      </c>
      <c r="BS2" s="28">
        <v>17</v>
      </c>
      <c r="BT2" s="28">
        <v>16</v>
      </c>
      <c r="BU2" s="28">
        <v>15</v>
      </c>
      <c r="BV2" s="28">
        <v>14</v>
      </c>
      <c r="BW2" s="28">
        <v>13</v>
      </c>
      <c r="BX2" s="28">
        <v>12</v>
      </c>
      <c r="BY2" s="28">
        <v>11</v>
      </c>
      <c r="BZ2" s="28">
        <v>10</v>
      </c>
      <c r="CA2" s="28">
        <v>9</v>
      </c>
      <c r="CB2" s="28">
        <v>8</v>
      </c>
      <c r="CC2" s="28">
        <v>7</v>
      </c>
      <c r="CD2" s="28">
        <v>6</v>
      </c>
      <c r="CE2" s="28">
        <v>5</v>
      </c>
      <c r="CF2" s="28">
        <v>4</v>
      </c>
      <c r="CG2" s="28">
        <v>3</v>
      </c>
      <c r="CH2" s="28">
        <v>2</v>
      </c>
      <c r="CI2" s="28">
        <v>1</v>
      </c>
    </row>
    <row r="3" spans="8:9" ht="15.75">
      <c r="H3" s="84"/>
      <c r="I3" s="5"/>
    </row>
    <row r="4" spans="1:9" ht="26.25" customHeight="1">
      <c r="A4" s="307" t="s">
        <v>78</v>
      </c>
      <c r="B4" s="307"/>
      <c r="C4" s="307"/>
      <c r="D4" s="46"/>
      <c r="E4" s="46"/>
      <c r="F4" s="4"/>
      <c r="H4" s="84"/>
      <c r="I4" s="5"/>
    </row>
    <row r="5" spans="1:9" ht="23.25" customHeight="1" thickBot="1">
      <c r="A5" s="325" t="s">
        <v>83</v>
      </c>
      <c r="B5" s="325"/>
      <c r="C5" s="325"/>
      <c r="D5" s="94"/>
      <c r="E5" s="94"/>
      <c r="F5" s="38"/>
      <c r="H5" s="84"/>
      <c r="I5" s="5"/>
    </row>
    <row r="6" spans="1:9" ht="18" customHeight="1">
      <c r="A6" s="326" t="s">
        <v>12</v>
      </c>
      <c r="B6" s="323" t="s">
        <v>12</v>
      </c>
      <c r="C6" s="311" t="s">
        <v>35</v>
      </c>
      <c r="D6" s="321" t="s">
        <v>47</v>
      </c>
      <c r="E6" s="273"/>
      <c r="F6" s="309" t="s">
        <v>31</v>
      </c>
      <c r="H6" s="84"/>
      <c r="I6" s="5"/>
    </row>
    <row r="7" spans="1:9" ht="13.5" customHeight="1" thickBot="1">
      <c r="A7" s="327"/>
      <c r="B7" s="324"/>
      <c r="C7" s="312"/>
      <c r="D7" s="322"/>
      <c r="E7" s="274" t="s">
        <v>7</v>
      </c>
      <c r="F7" s="310"/>
      <c r="H7" s="84"/>
      <c r="I7" s="5"/>
    </row>
    <row r="8" spans="1:9" s="12" customFormat="1" ht="16.5" thickBot="1">
      <c r="A8" s="73"/>
      <c r="B8" s="95"/>
      <c r="C8" s="269" t="str">
        <f>'лыжи мужч 5 км'!D9</f>
        <v>Неверкинский</v>
      </c>
      <c r="D8" s="270"/>
      <c r="E8" s="271">
        <v>1</v>
      </c>
      <c r="F8" s="11">
        <f>(LOOKUP(E8,$H$1:$CI$1,$H$2:$CI$2)*2)</f>
        <v>240</v>
      </c>
      <c r="H8" s="84"/>
      <c r="I8" s="85"/>
    </row>
    <row r="9" spans="1:9" s="12" customFormat="1" ht="16.5" thickBot="1">
      <c r="A9" s="83"/>
      <c r="B9" s="29"/>
      <c r="C9" s="269" t="str">
        <f>'лыжи мужч 5 км'!D14</f>
        <v>Никольский</v>
      </c>
      <c r="D9" s="270"/>
      <c r="E9" s="272">
        <v>2</v>
      </c>
      <c r="F9" s="11">
        <f aca="true" t="shared" si="0" ref="F9:F29">(LOOKUP(E9,$H$1:$CI$1,$H$2:$CI$2)*2)</f>
        <v>216</v>
      </c>
      <c r="H9" s="84"/>
      <c r="I9" s="85"/>
    </row>
    <row r="10" spans="1:9" s="12" customFormat="1" ht="16.5" thickBot="1">
      <c r="A10" s="83"/>
      <c r="B10" s="95"/>
      <c r="C10" s="269" t="s">
        <v>39</v>
      </c>
      <c r="D10" s="270"/>
      <c r="E10" s="271">
        <v>3</v>
      </c>
      <c r="F10" s="11">
        <f t="shared" si="0"/>
        <v>196</v>
      </c>
      <c r="H10" s="84"/>
      <c r="I10" s="85"/>
    </row>
    <row r="11" spans="1:9" s="12" customFormat="1" ht="16.5" thickBot="1">
      <c r="A11" s="75"/>
      <c r="B11" s="29"/>
      <c r="C11" s="269" t="str">
        <f>'лыжи мужч 5 км'!D27</f>
        <v>Башмаковский</v>
      </c>
      <c r="D11" s="270"/>
      <c r="E11" s="272">
        <v>4</v>
      </c>
      <c r="F11" s="11">
        <f t="shared" si="0"/>
        <v>180</v>
      </c>
      <c r="H11" s="84"/>
      <c r="I11" s="85"/>
    </row>
    <row r="12" spans="1:9" s="12" customFormat="1" ht="16.5" thickBot="1">
      <c r="A12" s="75"/>
      <c r="B12" s="95"/>
      <c r="C12" s="269" t="str">
        <f>'лыжи мужч 5 км'!D12</f>
        <v>Мокшанский</v>
      </c>
      <c r="D12" s="270"/>
      <c r="E12" s="271">
        <v>5</v>
      </c>
      <c r="F12" s="11">
        <f t="shared" si="0"/>
        <v>170</v>
      </c>
      <c r="H12" s="84"/>
      <c r="I12" s="85"/>
    </row>
    <row r="13" spans="1:9" ht="16.5" thickBot="1">
      <c r="A13" s="83"/>
      <c r="B13" s="29"/>
      <c r="C13" s="269" t="str">
        <f>'лыжи мужч 5 км'!D8</f>
        <v>Лопатинский</v>
      </c>
      <c r="D13" s="270"/>
      <c r="E13" s="272">
        <v>6</v>
      </c>
      <c r="F13" s="11">
        <f t="shared" si="0"/>
        <v>164</v>
      </c>
      <c r="H13" s="84"/>
      <c r="I13" s="5"/>
    </row>
    <row r="14" spans="1:9" ht="16.5" thickBot="1">
      <c r="A14" s="83"/>
      <c r="B14" s="95"/>
      <c r="C14" s="269" t="str">
        <f>'лыжи мужч 5 км'!D19</f>
        <v>Пензенский</v>
      </c>
      <c r="D14" s="270"/>
      <c r="E14" s="271">
        <v>7</v>
      </c>
      <c r="F14" s="11">
        <f t="shared" si="0"/>
        <v>158</v>
      </c>
      <c r="H14" s="84"/>
      <c r="I14" s="5"/>
    </row>
    <row r="15" spans="1:9" ht="16.5" thickBot="1">
      <c r="A15" s="83"/>
      <c r="B15" s="95"/>
      <c r="C15" s="269" t="str">
        <f>'лыжи мужч 5 км'!D13</f>
        <v>Спасский</v>
      </c>
      <c r="D15" s="270"/>
      <c r="E15" s="271">
        <v>8</v>
      </c>
      <c r="F15" s="11">
        <f t="shared" si="0"/>
        <v>152</v>
      </c>
      <c r="H15" s="84"/>
      <c r="I15" s="5"/>
    </row>
    <row r="16" spans="1:9" ht="16.5" thickBot="1">
      <c r="A16" s="75"/>
      <c r="B16" s="29"/>
      <c r="C16" s="269" t="str">
        <f>'лыжи мужч 5 км'!D26</f>
        <v>Бессоновский</v>
      </c>
      <c r="D16" s="270"/>
      <c r="E16" s="272">
        <v>9</v>
      </c>
      <c r="F16" s="11">
        <f t="shared" si="0"/>
        <v>148</v>
      </c>
      <c r="H16" s="84"/>
      <c r="I16" s="5"/>
    </row>
    <row r="17" spans="1:9" ht="16.5" thickBot="1">
      <c r="A17" s="75"/>
      <c r="B17" s="95"/>
      <c r="C17" s="269" t="str">
        <f>'лыжи мужч 5 км'!D34</f>
        <v>Белинский</v>
      </c>
      <c r="D17" s="270"/>
      <c r="E17" s="271">
        <v>10</v>
      </c>
      <c r="F17" s="11">
        <f t="shared" si="0"/>
        <v>144</v>
      </c>
      <c r="H17" s="84"/>
      <c r="I17" s="5"/>
    </row>
    <row r="18" spans="1:9" ht="16.5" thickBot="1">
      <c r="A18" s="83"/>
      <c r="B18" s="95"/>
      <c r="C18" s="269" t="str">
        <f>'лыжи мужч 5 км'!D32</f>
        <v>Сердобский</v>
      </c>
      <c r="D18" s="270"/>
      <c r="E18" s="271">
        <v>11</v>
      </c>
      <c r="F18" s="11">
        <f t="shared" si="0"/>
        <v>140</v>
      </c>
      <c r="H18" s="84"/>
      <c r="I18" s="5"/>
    </row>
    <row r="19" spans="1:6" ht="16.5" thickBot="1">
      <c r="A19" s="1"/>
      <c r="B19" s="29"/>
      <c r="C19" s="269" t="str">
        <f>'лыжи мужч 5 км'!D23</f>
        <v>Каменский</v>
      </c>
      <c r="D19" s="270"/>
      <c r="E19" s="272">
        <v>12</v>
      </c>
      <c r="F19" s="11">
        <f t="shared" si="0"/>
        <v>138</v>
      </c>
    </row>
    <row r="20" spans="1:6" ht="16.5" thickBot="1">
      <c r="A20" s="1"/>
      <c r="B20" s="95"/>
      <c r="C20" s="269" t="str">
        <f>'лыжи мужч 5 км'!D18</f>
        <v>Городищенский</v>
      </c>
      <c r="D20" s="270"/>
      <c r="E20" s="271">
        <v>13</v>
      </c>
      <c r="F20" s="11">
        <f t="shared" si="0"/>
        <v>136</v>
      </c>
    </row>
    <row r="21" spans="1:6" ht="16.5" thickBot="1">
      <c r="A21" s="1"/>
      <c r="B21" s="29"/>
      <c r="C21" s="269" t="str">
        <f>'лыжи мужч 5 км'!D29</f>
        <v>Нижнеломовский</v>
      </c>
      <c r="D21" s="270"/>
      <c r="E21" s="272">
        <v>14</v>
      </c>
      <c r="F21" s="11">
        <f t="shared" si="0"/>
        <v>134</v>
      </c>
    </row>
    <row r="22" spans="1:6" ht="16.5" thickBot="1">
      <c r="A22" s="1"/>
      <c r="B22" s="95"/>
      <c r="C22" s="269" t="str">
        <f>'лыжи мужч 5 км'!D20</f>
        <v>Пачелмский</v>
      </c>
      <c r="D22" s="270"/>
      <c r="E22" s="271">
        <v>15</v>
      </c>
      <c r="F22" s="11">
        <f t="shared" si="0"/>
        <v>132</v>
      </c>
    </row>
    <row r="23" spans="1:6" ht="16.5" thickBot="1">
      <c r="A23" s="1"/>
      <c r="B23" s="29"/>
      <c r="C23" s="269" t="str">
        <f>'лыжи мужч 5 км'!D28</f>
        <v>Кузнецкий</v>
      </c>
      <c r="D23" s="270"/>
      <c r="E23" s="272">
        <v>16</v>
      </c>
      <c r="F23" s="11">
        <f t="shared" si="0"/>
        <v>130</v>
      </c>
    </row>
    <row r="24" spans="1:6" ht="16.5" thickBot="1">
      <c r="A24" s="1"/>
      <c r="B24" s="95"/>
      <c r="C24" s="269" t="str">
        <f>'лыжи мужч 5 км'!D16</f>
        <v>Колышлейский</v>
      </c>
      <c r="D24" s="270"/>
      <c r="E24" s="271">
        <v>17</v>
      </c>
      <c r="F24" s="11">
        <f t="shared" si="0"/>
        <v>128</v>
      </c>
    </row>
    <row r="25" spans="1:6" ht="16.5" thickBot="1">
      <c r="A25" s="1"/>
      <c r="B25" s="29"/>
      <c r="C25" s="269" t="s">
        <v>21</v>
      </c>
      <c r="D25" s="270"/>
      <c r="E25" s="272">
        <v>18</v>
      </c>
      <c r="F25" s="11">
        <f t="shared" si="0"/>
        <v>126</v>
      </c>
    </row>
    <row r="26" spans="1:6" ht="16.5" thickBot="1">
      <c r="A26" s="1"/>
      <c r="B26" s="29"/>
      <c r="C26" s="269" t="str">
        <f>'лыжи мужч 5 км'!D31</f>
        <v>Земетчинский</v>
      </c>
      <c r="D26" s="270"/>
      <c r="E26" s="272">
        <v>19</v>
      </c>
      <c r="F26" s="11">
        <f t="shared" si="0"/>
        <v>124</v>
      </c>
    </row>
    <row r="27" spans="1:6" ht="16.5" thickBot="1">
      <c r="A27" s="1"/>
      <c r="B27" s="95"/>
      <c r="C27" s="269" t="str">
        <f>'лыжи мужч 5 км'!D33</f>
        <v>Малосердобинский</v>
      </c>
      <c r="D27" s="270"/>
      <c r="E27" s="271">
        <v>20</v>
      </c>
      <c r="F27" s="11">
        <f t="shared" si="0"/>
        <v>122</v>
      </c>
    </row>
    <row r="28" spans="1:6" ht="16.5" thickBot="1">
      <c r="A28" s="1"/>
      <c r="B28" s="29"/>
      <c r="C28" s="269" t="s">
        <v>19</v>
      </c>
      <c r="D28" s="270"/>
      <c r="E28" s="272">
        <v>21</v>
      </c>
      <c r="F28" s="11">
        <f t="shared" si="0"/>
        <v>120</v>
      </c>
    </row>
    <row r="29" spans="1:6" ht="16.5" thickBot="1">
      <c r="A29" s="1"/>
      <c r="B29" s="95"/>
      <c r="C29" s="269" t="s">
        <v>9</v>
      </c>
      <c r="D29" s="270"/>
      <c r="E29" s="271">
        <v>22</v>
      </c>
      <c r="F29" s="11">
        <f t="shared" si="0"/>
        <v>118</v>
      </c>
    </row>
    <row r="30" spans="3:5" ht="12.75">
      <c r="C30" s="8"/>
      <c r="D30" s="8"/>
      <c r="E30" s="8"/>
    </row>
  </sheetData>
  <sheetProtection/>
  <mergeCells count="8">
    <mergeCell ref="D6:D7"/>
    <mergeCell ref="F6:F7"/>
    <mergeCell ref="B6:B7"/>
    <mergeCell ref="A2:C2"/>
    <mergeCell ref="A4:C4"/>
    <mergeCell ref="A5:C5"/>
    <mergeCell ref="A6:A7"/>
    <mergeCell ref="C6:C7"/>
  </mergeCells>
  <printOptions horizontalCentered="1"/>
  <pageMargins left="0.2362204724409449" right="0.15748031496062992" top="0.5905511811023623" bottom="0.5905511811023623" header="0.31496062992125984" footer="0.31496062992125984"/>
  <pageSetup fitToHeight="1" fitToWidth="1" horizontalDpi="600" verticalDpi="600" orientation="portrait" paperSize="9" r:id="rId1"/>
  <colBreaks count="1" manualBreakCount="1">
    <brk id="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1"/>
  <sheetViews>
    <sheetView view="pageBreakPreview" zoomScaleSheetLayoutView="100" workbookViewId="0" topLeftCell="A7">
      <selection activeCell="J16" sqref="J16"/>
    </sheetView>
  </sheetViews>
  <sheetFormatPr defaultColWidth="9.140625" defaultRowHeight="12.75"/>
  <cols>
    <col min="2" max="2" width="31.57421875" style="0" customWidth="1"/>
    <col min="3" max="3" width="7.28125" style="50" hidden="1" customWidth="1"/>
    <col min="4" max="4" width="11.140625" style="8" customWidth="1"/>
    <col min="5" max="5" width="18.140625" style="0" customWidth="1"/>
  </cols>
  <sheetData>
    <row r="1" spans="2:47" ht="47.25" customHeight="1" thickBot="1">
      <c r="B1" s="328" t="s">
        <v>56</v>
      </c>
      <c r="C1" s="328"/>
      <c r="D1" s="328"/>
      <c r="E1" s="328"/>
      <c r="F1" s="328"/>
      <c r="G1" s="31"/>
      <c r="H1" s="147">
        <v>1</v>
      </c>
      <c r="I1" s="147">
        <v>2</v>
      </c>
      <c r="J1" s="147">
        <v>3</v>
      </c>
      <c r="K1" s="28">
        <v>4</v>
      </c>
      <c r="L1" s="28">
        <v>5</v>
      </c>
      <c r="M1" s="28">
        <v>6</v>
      </c>
      <c r="N1" s="28">
        <v>7</v>
      </c>
      <c r="O1" s="28">
        <v>8</v>
      </c>
      <c r="P1" s="28">
        <v>9</v>
      </c>
      <c r="Q1" s="28">
        <v>10</v>
      </c>
      <c r="R1" s="28">
        <v>11</v>
      </c>
      <c r="S1" s="28">
        <v>12</v>
      </c>
      <c r="T1" s="28">
        <v>13</v>
      </c>
      <c r="U1" s="28">
        <v>14</v>
      </c>
      <c r="V1" s="28">
        <v>15</v>
      </c>
      <c r="W1" s="28">
        <v>16</v>
      </c>
      <c r="X1" s="28">
        <v>17</v>
      </c>
      <c r="Y1" s="28">
        <v>18</v>
      </c>
      <c r="Z1" s="28">
        <v>19</v>
      </c>
      <c r="AA1" s="28">
        <v>20</v>
      </c>
      <c r="AB1" s="28">
        <v>21</v>
      </c>
      <c r="AC1" s="28">
        <v>22</v>
      </c>
      <c r="AD1" s="28">
        <v>23</v>
      </c>
      <c r="AE1" s="28">
        <v>24</v>
      </c>
      <c r="AF1" s="28">
        <v>25</v>
      </c>
      <c r="AG1" s="28">
        <v>26</v>
      </c>
      <c r="AH1" s="28">
        <v>27</v>
      </c>
      <c r="AI1" s="28">
        <v>28</v>
      </c>
      <c r="AJ1" s="28">
        <v>29</v>
      </c>
      <c r="AK1" s="28">
        <v>30</v>
      </c>
      <c r="AL1" s="28">
        <v>31</v>
      </c>
      <c r="AM1" s="28">
        <v>32</v>
      </c>
      <c r="AN1" s="28">
        <v>33</v>
      </c>
      <c r="AO1" s="28">
        <v>34</v>
      </c>
      <c r="AP1" s="28">
        <v>35</v>
      </c>
      <c r="AQ1" s="28">
        <v>36</v>
      </c>
      <c r="AR1" s="28">
        <v>37</v>
      </c>
      <c r="AS1" s="28">
        <v>38</v>
      </c>
      <c r="AT1" s="28">
        <v>39</v>
      </c>
      <c r="AU1" s="28">
        <v>40</v>
      </c>
    </row>
    <row r="2" spans="2:47" ht="47.25" customHeight="1" thickBot="1">
      <c r="B2" s="123"/>
      <c r="C2" s="123"/>
      <c r="D2" s="158"/>
      <c r="E2" s="123"/>
      <c r="F2" s="123"/>
      <c r="G2" s="31"/>
      <c r="H2" s="148">
        <v>480</v>
      </c>
      <c r="I2" s="148">
        <v>432</v>
      </c>
      <c r="J2" s="148">
        <v>392</v>
      </c>
      <c r="K2" s="39">
        <v>360</v>
      </c>
      <c r="L2" s="39">
        <v>340</v>
      </c>
      <c r="M2" s="39">
        <v>328</v>
      </c>
      <c r="N2" s="39">
        <v>316</v>
      </c>
      <c r="O2" s="39">
        <v>304</v>
      </c>
      <c r="P2" s="39">
        <v>296</v>
      </c>
      <c r="Q2" s="39">
        <v>288</v>
      </c>
      <c r="R2" s="39">
        <v>280</v>
      </c>
      <c r="S2" s="39">
        <v>276</v>
      </c>
      <c r="T2" s="39">
        <v>272</v>
      </c>
      <c r="U2" s="39">
        <v>268</v>
      </c>
      <c r="V2" s="39">
        <v>264</v>
      </c>
      <c r="W2" s="39">
        <v>260</v>
      </c>
      <c r="X2" s="39">
        <v>256</v>
      </c>
      <c r="Y2" s="39">
        <v>252</v>
      </c>
      <c r="Z2" s="39">
        <v>248</v>
      </c>
      <c r="AA2" s="40">
        <v>244</v>
      </c>
      <c r="AB2" s="41">
        <v>240</v>
      </c>
      <c r="AC2" s="39">
        <v>236</v>
      </c>
      <c r="AD2" s="39">
        <v>232</v>
      </c>
      <c r="AE2" s="39">
        <v>228</v>
      </c>
      <c r="AF2" s="39">
        <v>224</v>
      </c>
      <c r="AG2" s="39">
        <v>220</v>
      </c>
      <c r="AH2" s="39">
        <v>216</v>
      </c>
      <c r="AI2" s="39">
        <v>212</v>
      </c>
      <c r="AJ2" s="39">
        <v>208</v>
      </c>
      <c r="AK2" s="39">
        <v>204</v>
      </c>
      <c r="AL2" s="39">
        <v>200</v>
      </c>
      <c r="AM2" s="39">
        <v>196</v>
      </c>
      <c r="AN2" s="39">
        <v>192</v>
      </c>
      <c r="AO2" s="39">
        <v>188</v>
      </c>
      <c r="AP2" s="39">
        <v>184</v>
      </c>
      <c r="AQ2" s="39">
        <v>180</v>
      </c>
      <c r="AR2" s="39">
        <v>176</v>
      </c>
      <c r="AS2" s="39">
        <v>172</v>
      </c>
      <c r="AT2" s="39">
        <v>168</v>
      </c>
      <c r="AU2" s="40">
        <v>164</v>
      </c>
    </row>
    <row r="3" spans="2:10" ht="37.5" customHeight="1">
      <c r="B3" s="305" t="s">
        <v>85</v>
      </c>
      <c r="C3" s="305"/>
      <c r="D3" s="305"/>
      <c r="E3" s="305"/>
      <c r="F3" s="305"/>
      <c r="G3" s="45"/>
      <c r="H3" s="24"/>
      <c r="I3" s="5"/>
      <c r="J3" s="5"/>
    </row>
    <row r="4" spans="2:10" ht="15.75">
      <c r="B4" s="31"/>
      <c r="C4" s="52"/>
      <c r="D4" s="159"/>
      <c r="E4" s="31"/>
      <c r="F4" s="31"/>
      <c r="G4" s="31"/>
      <c r="H4" s="24"/>
      <c r="I4" s="5"/>
      <c r="J4" s="5"/>
    </row>
    <row r="5" spans="2:10" ht="39.75" customHeight="1">
      <c r="B5" s="305" t="s">
        <v>84</v>
      </c>
      <c r="C5" s="305"/>
      <c r="D5" s="305"/>
      <c r="E5" s="305"/>
      <c r="F5" s="305"/>
      <c r="G5" s="32"/>
      <c r="H5" s="24"/>
      <c r="I5" s="5"/>
      <c r="J5" s="5"/>
    </row>
    <row r="6" spans="2:10" ht="18" customHeight="1">
      <c r="B6" s="32"/>
      <c r="C6" s="53"/>
      <c r="D6" s="160"/>
      <c r="E6" s="32"/>
      <c r="F6" s="32"/>
      <c r="G6" s="32"/>
      <c r="H6" s="24"/>
      <c r="I6" s="5"/>
      <c r="J6" s="5"/>
    </row>
    <row r="7" spans="2:10" ht="16.5" thickBot="1">
      <c r="B7" s="33" t="s">
        <v>73</v>
      </c>
      <c r="C7" s="54"/>
      <c r="D7" s="19"/>
      <c r="E7" s="19"/>
      <c r="F7" s="19" t="s">
        <v>71</v>
      </c>
      <c r="G7" s="19"/>
      <c r="H7" s="24"/>
      <c r="I7" s="5"/>
      <c r="J7" s="5"/>
    </row>
    <row r="8" spans="2:10" ht="65.25" customHeight="1" thickBot="1" thickTop="1">
      <c r="B8" s="34" t="s">
        <v>57</v>
      </c>
      <c r="C8" s="55"/>
      <c r="D8" s="161" t="s">
        <v>75</v>
      </c>
      <c r="E8" s="35" t="s">
        <v>74</v>
      </c>
      <c r="F8" s="34" t="s">
        <v>7</v>
      </c>
      <c r="G8" s="19"/>
      <c r="H8" s="24"/>
      <c r="I8" s="5"/>
      <c r="J8" s="5"/>
    </row>
    <row r="9" spans="2:10" ht="16.5" thickTop="1">
      <c r="B9" t="str">
        <f>VLOOKUP(C9,'лыжи командная и база'!$E$8:$H$191,4,FALSE)</f>
        <v>Неверкинский</v>
      </c>
      <c r="C9" s="50">
        <f>LARGE('лыжи командная и база'!$E$8:$E$191,1)</f>
        <v>57410</v>
      </c>
      <c r="D9" s="8">
        <f>VLOOKUP(C9,'лыжи командная и база'!$E$9:$H191,3,FALSE)</f>
        <v>574</v>
      </c>
      <c r="E9" s="13">
        <f>LOOKUP(F9,$H$1:$AU$1,$H$2:$AU$2)</f>
        <v>480</v>
      </c>
      <c r="F9" s="13">
        <v>1</v>
      </c>
      <c r="H9" s="24"/>
      <c r="I9" s="5"/>
      <c r="J9" s="5"/>
    </row>
    <row r="10" spans="2:10" ht="15.75">
      <c r="B10" t="str">
        <f>VLOOKUP(C10,'лыжи командная и база'!$E$8:$H$191,4,FALSE)</f>
        <v>Никольский</v>
      </c>
      <c r="C10" s="50">
        <f>LARGE('лыжи командная и база'!$E$8:$E$191,2)</f>
        <v>53410</v>
      </c>
      <c r="D10" s="8">
        <f>VLOOKUP(C10,'лыжи командная и база'!$E$9:$H192,3,FALSE)</f>
        <v>534</v>
      </c>
      <c r="E10" s="13">
        <f aca="true" t="shared" si="0" ref="E10:E35">LOOKUP(F10,$H$1:$AU$1,$H$2:$AU$2)</f>
        <v>432</v>
      </c>
      <c r="F10" s="13">
        <v>2</v>
      </c>
      <c r="H10" s="24"/>
      <c r="I10" s="5"/>
      <c r="J10" s="5"/>
    </row>
    <row r="11" spans="2:10" ht="15.75">
      <c r="B11" t="str">
        <f>VLOOKUP(C11,'лыжи командная и база'!$E$8:$H$191,4,FALSE)</f>
        <v>Башмаковский</v>
      </c>
      <c r="C11" s="50">
        <f>LARGE('лыжи командная и база'!$E$8:$E$191,3)</f>
        <v>51610</v>
      </c>
      <c r="D11" s="8">
        <f>VLOOKUP(C11,'лыжи командная и база'!$E$9:$H193,3,FALSE)</f>
        <v>516</v>
      </c>
      <c r="E11" s="13">
        <f t="shared" si="0"/>
        <v>392</v>
      </c>
      <c r="F11" s="13">
        <v>3</v>
      </c>
      <c r="H11" s="24"/>
      <c r="I11" s="5"/>
      <c r="J11" s="5"/>
    </row>
    <row r="12" spans="2:10" ht="15.75">
      <c r="B12" t="str">
        <f>VLOOKUP(C12,'лыжи командная и база'!$E$8:$H$191,4,FALSE)</f>
        <v>Тамалинский</v>
      </c>
      <c r="C12" s="50">
        <f>LARGE('лыжи командная и база'!$E$8:$E$191,4)</f>
        <v>47510</v>
      </c>
      <c r="D12" s="8">
        <f>VLOOKUP(C12,'лыжи командная и база'!$E$9:$H194,3,FALSE)</f>
        <v>475</v>
      </c>
      <c r="E12" s="13">
        <f t="shared" si="0"/>
        <v>360</v>
      </c>
      <c r="F12" s="13">
        <v>4</v>
      </c>
      <c r="H12" s="24"/>
      <c r="I12" s="5"/>
      <c r="J12" s="5"/>
    </row>
    <row r="13" spans="2:10" ht="15.75">
      <c r="B13" t="str">
        <f>VLOOKUP(C13,'лыжи командная и база'!$E$8:$H$191,4,FALSE)</f>
        <v>Мокшанский</v>
      </c>
      <c r="C13" s="50">
        <f>LARGE('лыжи командная и база'!$E$8:$E$191,5)</f>
        <v>46710</v>
      </c>
      <c r="D13" s="8">
        <f>VLOOKUP(C13,'лыжи командная и база'!$E$9:$H195,3,FALSE)</f>
        <v>467</v>
      </c>
      <c r="E13" s="13">
        <f t="shared" si="0"/>
        <v>340</v>
      </c>
      <c r="F13" s="13">
        <v>5</v>
      </c>
      <c r="H13" s="24"/>
      <c r="I13" s="5"/>
      <c r="J13" s="5"/>
    </row>
    <row r="14" spans="2:10" ht="15.75">
      <c r="B14" t="str">
        <f>VLOOKUP(C14,'лыжи командная и база'!$E$8:$H$191,4,FALSE)</f>
        <v>Лопатинский</v>
      </c>
      <c r="C14" s="50">
        <f>LARGE('лыжи командная и база'!$E$8:$E$191,6)</f>
        <v>45510</v>
      </c>
      <c r="D14" s="8">
        <f>VLOOKUP(C14,'лыжи командная и база'!$E$9:$H196,3,FALSE)</f>
        <v>455</v>
      </c>
      <c r="E14" s="13">
        <f t="shared" si="0"/>
        <v>328</v>
      </c>
      <c r="F14" s="13">
        <v>6</v>
      </c>
      <c r="H14" s="24"/>
      <c r="I14" s="5"/>
      <c r="J14" s="5"/>
    </row>
    <row r="15" spans="2:10" ht="15.75">
      <c r="B15" t="str">
        <f>VLOOKUP(C15,'лыжи командная и база'!$E$8:$H$191,4,FALSE)</f>
        <v>Белинский</v>
      </c>
      <c r="C15" s="50">
        <f>LARGE('лыжи командная и база'!$E$8:$E$191,7)</f>
        <v>42910</v>
      </c>
      <c r="D15" s="8">
        <f>VLOOKUP(C15,'лыжи командная и база'!$E$9:$H197,3,FALSE)</f>
        <v>429</v>
      </c>
      <c r="E15" s="13">
        <f t="shared" si="0"/>
        <v>316</v>
      </c>
      <c r="F15" s="13">
        <v>7</v>
      </c>
      <c r="H15" s="24"/>
      <c r="I15" s="5"/>
      <c r="J15" s="5"/>
    </row>
    <row r="16" spans="2:10" ht="15.75">
      <c r="B16" t="str">
        <f>VLOOKUP(C16,'лыжи командная и база'!$E$8:$H$191,4,FALSE)</f>
        <v>Пензенский</v>
      </c>
      <c r="C16" s="50">
        <f>LARGE('лыжи командная и база'!$E$8:$E$191,8)</f>
        <v>41610</v>
      </c>
      <c r="D16" s="8">
        <f>VLOOKUP(C16,'лыжи командная и база'!$E$9:$H198,3,FALSE)</f>
        <v>416</v>
      </c>
      <c r="E16" s="13">
        <f t="shared" si="0"/>
        <v>304</v>
      </c>
      <c r="F16" s="13">
        <v>8</v>
      </c>
      <c r="H16" s="24"/>
      <c r="I16" s="5"/>
      <c r="J16" s="5"/>
    </row>
    <row r="17" spans="2:10" ht="15.75">
      <c r="B17" t="str">
        <f>VLOOKUP(C17,'лыжи командная и база'!$E$8:$H$191,4,FALSE)</f>
        <v>Спасский</v>
      </c>
      <c r="C17" s="50">
        <f>LARGE('лыжи командная и база'!$E$8:$E$191,9)</f>
        <v>40110</v>
      </c>
      <c r="D17" s="8">
        <f>VLOOKUP(C17,'лыжи командная и база'!$E$9:$H199,3,FALSE)</f>
        <v>401</v>
      </c>
      <c r="E17" s="13">
        <f t="shared" si="0"/>
        <v>296</v>
      </c>
      <c r="F17" s="13">
        <v>9</v>
      </c>
      <c r="H17" s="24"/>
      <c r="I17" s="5"/>
      <c r="J17" s="5"/>
    </row>
    <row r="18" spans="2:10" ht="15.75">
      <c r="B18" t="str">
        <f>VLOOKUP(C18,'лыжи командная и база'!$E$8:$H$191,4,FALSE)</f>
        <v>Городищенский</v>
      </c>
      <c r="C18" s="50">
        <f>LARGE('лыжи командная и база'!$E$8:$E$191,10)</f>
        <v>38910</v>
      </c>
      <c r="D18" s="8">
        <f>VLOOKUP(C18,'лыжи командная и база'!$E$9:$H200,3,FALSE)</f>
        <v>389</v>
      </c>
      <c r="E18" s="13">
        <f t="shared" si="0"/>
        <v>288</v>
      </c>
      <c r="F18" s="13">
        <v>10</v>
      </c>
      <c r="H18" s="24"/>
      <c r="I18" s="5"/>
      <c r="J18" s="5"/>
    </row>
    <row r="19" spans="2:10" ht="15.75">
      <c r="B19" t="str">
        <f>VLOOKUP(C19,'лыжи командная и база'!$E$8:$H$191,4,FALSE)</f>
        <v>Бессоновский</v>
      </c>
      <c r="C19" s="50">
        <f>LARGE('лыжи командная и база'!$E$8:$E$191,11)</f>
        <v>38410</v>
      </c>
      <c r="D19" s="8">
        <f>VLOOKUP(C19,'лыжи командная и база'!$E$9:$H201,3,FALSE)</f>
        <v>384</v>
      </c>
      <c r="E19" s="13">
        <f t="shared" si="0"/>
        <v>280</v>
      </c>
      <c r="F19" s="13">
        <v>11</v>
      </c>
      <c r="H19" s="24"/>
      <c r="I19" s="5"/>
      <c r="J19" s="5"/>
    </row>
    <row r="20" spans="2:10" ht="15.75">
      <c r="B20" t="str">
        <f>VLOOKUP(C20,'лыжи командная и база'!$E$8:$H$191,4,FALSE)</f>
        <v>Сердобский</v>
      </c>
      <c r="C20" s="50">
        <f>LARGE('лыжи командная и база'!$E$8:$E$191,12)</f>
        <v>37710</v>
      </c>
      <c r="D20" s="8">
        <f>VLOOKUP(C20,'лыжи командная и база'!$E$9:$H202,3,FALSE)</f>
        <v>377</v>
      </c>
      <c r="E20" s="13">
        <f t="shared" si="0"/>
        <v>276</v>
      </c>
      <c r="F20" s="13">
        <v>12</v>
      </c>
      <c r="H20" s="24"/>
      <c r="I20" s="5"/>
      <c r="J20" s="5"/>
    </row>
    <row r="21" spans="2:10" ht="15.75">
      <c r="B21" t="str">
        <f>VLOOKUP(C21,'лыжи командная и база'!$E$8:$H$191,4,FALSE)</f>
        <v>Каменский</v>
      </c>
      <c r="C21" s="50">
        <f>LARGE('лыжи командная и база'!$E$8:$E$191,13)</f>
        <v>37210</v>
      </c>
      <c r="D21" s="8">
        <f>VLOOKUP(C21,'лыжи командная и база'!$E$9:$H203,3,FALSE)</f>
        <v>372</v>
      </c>
      <c r="E21" s="13">
        <f t="shared" si="0"/>
        <v>272</v>
      </c>
      <c r="F21" s="13">
        <v>13</v>
      </c>
      <c r="H21" s="24"/>
      <c r="I21" s="5"/>
      <c r="J21" s="5"/>
    </row>
    <row r="22" spans="2:10" ht="15.75">
      <c r="B22" t="str">
        <f>VLOOKUP(C22,'лыжи командная и база'!$E$8:$H$191,4,FALSE)</f>
        <v>Нижнеломовский</v>
      </c>
      <c r="C22" s="50">
        <f>LARGE('лыжи командная и база'!$E$8:$E$191,14)</f>
        <v>35610</v>
      </c>
      <c r="D22" s="8">
        <f>VLOOKUP(C22,'лыжи командная и база'!$E$9:$H204,3,FALSE)</f>
        <v>356</v>
      </c>
      <c r="E22" s="13">
        <f t="shared" si="0"/>
        <v>268</v>
      </c>
      <c r="F22" s="13">
        <v>14</v>
      </c>
      <c r="H22" s="24"/>
      <c r="I22" s="5"/>
      <c r="J22" s="5"/>
    </row>
    <row r="23" spans="2:10" ht="15.75">
      <c r="B23" t="str">
        <f>VLOOKUP(C23,'лыжи командная и база'!$E$8:$H$191,4,FALSE)</f>
        <v>Пачелмский</v>
      </c>
      <c r="C23" s="50">
        <f>LARGE('лыжи командная и база'!$E$8:$E$191,15)</f>
        <v>35510</v>
      </c>
      <c r="D23" s="8">
        <f>VLOOKUP(C23,'лыжи командная и база'!$E$9:$H205,3,FALSE)</f>
        <v>355</v>
      </c>
      <c r="E23" s="13">
        <f t="shared" si="0"/>
        <v>264</v>
      </c>
      <c r="F23" s="13">
        <v>15</v>
      </c>
      <c r="H23" s="24"/>
      <c r="I23" s="5"/>
      <c r="J23" s="5"/>
    </row>
    <row r="24" spans="2:10" ht="15.75">
      <c r="B24" t="str">
        <f>VLOOKUP(C24,'лыжи командная и база'!$E$8:$H$191,4,FALSE)</f>
        <v>Шемышейский</v>
      </c>
      <c r="C24" s="50">
        <f>LARGE('лыжи командная и база'!$E$8:$E$191,16)</f>
        <v>33710</v>
      </c>
      <c r="D24" s="8">
        <f>VLOOKUP(C24,'лыжи командная и база'!$E$9:$H206,3,FALSE)</f>
        <v>337</v>
      </c>
      <c r="E24" s="13">
        <f t="shared" si="0"/>
        <v>260</v>
      </c>
      <c r="F24" s="13">
        <v>16</v>
      </c>
      <c r="H24" s="24"/>
      <c r="I24" s="5"/>
      <c r="J24" s="5"/>
    </row>
    <row r="25" spans="2:10" ht="15.75">
      <c r="B25" t="str">
        <f>VLOOKUP(C25,'лыжи командная и база'!$E$8:$H$191,4,FALSE)</f>
        <v>Кузнецкий</v>
      </c>
      <c r="C25" s="50">
        <f>LARGE('лыжи командная и база'!$E$8:$E$191,17)</f>
        <v>32810</v>
      </c>
      <c r="D25" s="8">
        <f>VLOOKUP(C25,'лыжи командная и база'!$E$9:$H207,3,FALSE)</f>
        <v>328</v>
      </c>
      <c r="E25" s="13">
        <f t="shared" si="0"/>
        <v>256</v>
      </c>
      <c r="F25" s="13">
        <v>17</v>
      </c>
      <c r="H25" s="24"/>
      <c r="I25" s="5"/>
      <c r="J25" s="5"/>
    </row>
    <row r="26" spans="2:10" ht="15.75">
      <c r="B26" t="str">
        <f>VLOOKUP(C26,'лыжи командная и база'!$E$8:$H$191,4,FALSE)</f>
        <v>Земетчинский</v>
      </c>
      <c r="C26" s="50">
        <f>LARGE('лыжи командная и база'!$E$8:$E$191,18)</f>
        <v>31410</v>
      </c>
      <c r="D26" s="8">
        <f>VLOOKUP(C26,'лыжи командная и база'!$E$9:$H208,3,FALSE)</f>
        <v>314</v>
      </c>
      <c r="E26" s="13">
        <f t="shared" si="0"/>
        <v>252</v>
      </c>
      <c r="F26" s="13">
        <v>18</v>
      </c>
      <c r="H26" s="24"/>
      <c r="I26" s="5"/>
      <c r="J26" s="5"/>
    </row>
    <row r="27" spans="2:10" ht="15.75">
      <c r="B27" t="str">
        <f>VLOOKUP(C27,'лыжи командная и база'!$E$8:$H$191,4,FALSE)</f>
        <v>Колышлейский</v>
      </c>
      <c r="C27" s="50">
        <f>LARGE('лыжи командная и база'!$E$8:$E$191,19)</f>
        <v>29410</v>
      </c>
      <c r="D27" s="8">
        <f>VLOOKUP(C27,'лыжи командная и база'!$E$9:$H209,3,FALSE)</f>
        <v>294</v>
      </c>
      <c r="E27" s="13">
        <f t="shared" si="0"/>
        <v>248</v>
      </c>
      <c r="F27" s="13">
        <v>19</v>
      </c>
      <c r="H27" s="24"/>
      <c r="I27" s="5"/>
      <c r="J27" s="5"/>
    </row>
    <row r="28" spans="2:10" ht="15.75">
      <c r="B28" t="str">
        <f>VLOOKUP(C28,'лыжи командная и база'!$E$8:$H$191,4,FALSE)</f>
        <v>Бековский</v>
      </c>
      <c r="C28" s="50">
        <f>LARGE('лыжи командная и база'!$E$8:$E$191,20)</f>
        <v>26610</v>
      </c>
      <c r="D28" s="8">
        <f>VLOOKUP(C28,'лыжи командная и база'!$E$9:$H210,3,FALSE)</f>
        <v>266</v>
      </c>
      <c r="E28" s="13">
        <f t="shared" si="0"/>
        <v>244</v>
      </c>
      <c r="F28" s="13">
        <v>20</v>
      </c>
      <c r="H28" s="24"/>
      <c r="I28" s="5"/>
      <c r="J28" s="5"/>
    </row>
    <row r="29" spans="2:10" ht="15.75">
      <c r="B29" t="str">
        <f>VLOOKUP(C29,'лыжи командная и база'!$E$8:$H$191,4,FALSE)</f>
        <v>Сосновоборский</v>
      </c>
      <c r="C29" s="50">
        <f>LARGE('лыжи командная и база'!$E$8:$E$191,21)</f>
        <v>25910</v>
      </c>
      <c r="D29" s="8">
        <f>VLOOKUP(C29,'лыжи командная и база'!$E$9:$H211,3,FALSE)</f>
        <v>259</v>
      </c>
      <c r="E29" s="13">
        <f t="shared" si="0"/>
        <v>240</v>
      </c>
      <c r="F29" s="13">
        <v>21</v>
      </c>
      <c r="H29" s="24"/>
      <c r="I29" s="5"/>
      <c r="J29" s="5"/>
    </row>
    <row r="30" spans="2:10" ht="15.75">
      <c r="B30" t="str">
        <f>VLOOKUP(C30,'лыжи командная и база'!$E$8:$H$191,4,FALSE)</f>
        <v>Малосердобинский</v>
      </c>
      <c r="C30" s="50">
        <f>LARGE('лыжи командная и база'!$E$8:$E$191,22)</f>
        <v>25410</v>
      </c>
      <c r="D30" s="8">
        <f>VLOOKUP(C30,'лыжи командная и база'!$E$9:$H212,3,FALSE)</f>
        <v>254</v>
      </c>
      <c r="E30" s="13">
        <f t="shared" si="0"/>
        <v>236</v>
      </c>
      <c r="F30" s="13">
        <v>22</v>
      </c>
      <c r="H30" s="24"/>
      <c r="I30" s="5"/>
      <c r="J30" s="5"/>
    </row>
    <row r="31" spans="2:10" ht="15.75">
      <c r="B31" t="str">
        <f>VLOOKUP(C31,'лыжи командная и база'!$E$8:$H$191,4,FALSE)</f>
        <v>Вадинский</v>
      </c>
      <c r="C31" s="50">
        <f>LARGE('лыжи командная и база'!$E$8:$E$191,23)</f>
        <v>17410</v>
      </c>
      <c r="D31" s="8">
        <f>VLOOKUP(C31,'лыжи командная и база'!$E$9:$H213,3,FALSE)</f>
        <v>174</v>
      </c>
      <c r="E31" s="13">
        <f t="shared" si="0"/>
        <v>232</v>
      </c>
      <c r="F31" s="13">
        <v>23</v>
      </c>
      <c r="H31" s="24"/>
      <c r="I31" s="5"/>
      <c r="J31" s="5"/>
    </row>
    <row r="32" spans="2:10" ht="15.75">
      <c r="B32" t="str">
        <f>VLOOKUP(C32,'лыжи командная и база'!$E$8:$H$191,4,FALSE)</f>
        <v>Иссинский</v>
      </c>
      <c r="C32" s="50">
        <f>LARGE('лыжи командная и база'!$E$8:$E$191,24)</f>
        <v>13110</v>
      </c>
      <c r="D32" s="8">
        <f>VLOOKUP(C32,'лыжи командная и база'!$E$9:$H214,3,FALSE)</f>
        <v>131</v>
      </c>
      <c r="E32" s="13">
        <f t="shared" si="0"/>
        <v>228</v>
      </c>
      <c r="F32" s="13">
        <v>24</v>
      </c>
      <c r="H32" s="24"/>
      <c r="I32" s="5"/>
      <c r="J32" s="5"/>
    </row>
    <row r="33" spans="2:10" ht="15.75">
      <c r="B33" t="str">
        <f>VLOOKUP(C33,'лыжи командная и база'!$E$8:$H$191,4,FALSE)</f>
        <v>Наровчатский</v>
      </c>
      <c r="C33" s="50">
        <f>LARGE('лыжи командная и база'!$E$8:$E$191,25)</f>
        <v>10710</v>
      </c>
      <c r="D33" s="8">
        <f>VLOOKUP(C33,'лыжи командная и база'!$E$9:$H215,3,FALSE)</f>
        <v>107</v>
      </c>
      <c r="E33" s="13">
        <f t="shared" si="0"/>
        <v>224</v>
      </c>
      <c r="F33" s="13">
        <v>25</v>
      </c>
      <c r="H33" s="24"/>
      <c r="I33" s="5"/>
      <c r="J33" s="5"/>
    </row>
    <row r="34" spans="2:10" ht="15.75">
      <c r="B34" t="str">
        <f>VLOOKUP(C34,'лыжи командная и база'!$E$8:$H$191,4,FALSE)</f>
        <v>Камешкирский</v>
      </c>
      <c r="C34" s="50">
        <f>LARGE('лыжи командная и база'!$E$8:$E$191,26)</f>
        <v>7310</v>
      </c>
      <c r="D34" s="8">
        <f>VLOOKUP(C34,'лыжи командная и база'!$E$9:$H216,3,FALSE)</f>
        <v>73</v>
      </c>
      <c r="E34" s="13">
        <f t="shared" si="0"/>
        <v>220</v>
      </c>
      <c r="F34" s="13">
        <v>26</v>
      </c>
      <c r="H34" s="24"/>
      <c r="I34" s="5"/>
      <c r="J34" s="5"/>
    </row>
    <row r="35" spans="2:10" ht="15.75">
      <c r="B35" t="str">
        <f>VLOOKUP(C35,'лыжи командная и база'!$E$8:$H$191,4,FALSE)</f>
        <v>Лунинский</v>
      </c>
      <c r="C35" s="50">
        <f>LARGE('лыжи командная и база'!$E$8:$E$191,27)</f>
        <v>5910</v>
      </c>
      <c r="D35" s="8">
        <f>VLOOKUP(C35,'лыжи командная и база'!$E$9:$H217,3,FALSE)</f>
        <v>59</v>
      </c>
      <c r="E35" s="13">
        <f t="shared" si="0"/>
        <v>216</v>
      </c>
      <c r="F35" s="13">
        <v>27</v>
      </c>
      <c r="H35" s="24"/>
      <c r="I35" s="5"/>
      <c r="J35" s="5"/>
    </row>
    <row r="36" spans="6:10" ht="15.75">
      <c r="F36" s="13"/>
      <c r="H36" s="24"/>
      <c r="I36" s="5"/>
      <c r="J36" s="5"/>
    </row>
    <row r="37" spans="6:10" ht="15.75">
      <c r="F37" s="13"/>
      <c r="H37" s="24"/>
      <c r="I37" s="5"/>
      <c r="J37" s="5"/>
    </row>
    <row r="38" spans="6:10" ht="15.75">
      <c r="F38" s="13"/>
      <c r="H38" s="24"/>
      <c r="I38" s="5"/>
      <c r="J38" s="5"/>
    </row>
    <row r="39" spans="8:10" ht="15.75">
      <c r="H39" s="24"/>
      <c r="I39" s="5"/>
      <c r="J39" s="5"/>
    </row>
    <row r="40" spans="8:10" ht="15.75">
      <c r="H40" s="24"/>
      <c r="I40" s="5"/>
      <c r="J40" s="5"/>
    </row>
    <row r="41" spans="8:10" ht="15.75">
      <c r="H41" s="24"/>
      <c r="I41" s="5"/>
      <c r="J41" s="5"/>
    </row>
  </sheetData>
  <sheetProtection/>
  <mergeCells count="3">
    <mergeCell ref="B1:F1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44"/>
  <sheetViews>
    <sheetView view="pageBreakPreview" zoomScaleSheetLayoutView="100" workbookViewId="0" topLeftCell="B4">
      <selection activeCell="L28" sqref="L28"/>
    </sheetView>
  </sheetViews>
  <sheetFormatPr defaultColWidth="9.140625" defaultRowHeight="12.75"/>
  <cols>
    <col min="2" max="2" width="31.57421875" style="0" customWidth="1"/>
    <col min="3" max="3" width="11.140625" style="8" customWidth="1"/>
    <col min="4" max="4" width="18.140625" style="0" customWidth="1"/>
  </cols>
  <sheetData>
    <row r="1" spans="2:46" ht="47.25" customHeight="1" thickBot="1">
      <c r="B1" s="328" t="s">
        <v>56</v>
      </c>
      <c r="C1" s="328"/>
      <c r="D1" s="328"/>
      <c r="E1" s="328"/>
      <c r="F1" s="31"/>
      <c r="G1" s="147">
        <v>1</v>
      </c>
      <c r="H1" s="147">
        <v>2</v>
      </c>
      <c r="I1" s="147">
        <v>3</v>
      </c>
      <c r="J1" s="28">
        <v>4</v>
      </c>
      <c r="K1" s="28">
        <v>5</v>
      </c>
      <c r="L1" s="28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</row>
    <row r="2" spans="2:46" ht="47.25" customHeight="1" thickBot="1">
      <c r="B2" s="123"/>
      <c r="C2" s="158"/>
      <c r="D2" s="123"/>
      <c r="E2" s="123"/>
      <c r="F2" s="31"/>
      <c r="G2" s="148">
        <v>360</v>
      </c>
      <c r="H2" s="194">
        <v>330</v>
      </c>
      <c r="I2" s="194">
        <v>305</v>
      </c>
      <c r="J2" s="39">
        <v>285</v>
      </c>
      <c r="K2" s="39">
        <v>270</v>
      </c>
      <c r="L2" s="39">
        <v>260</v>
      </c>
      <c r="M2" s="39">
        <v>250</v>
      </c>
      <c r="N2" s="39">
        <v>240</v>
      </c>
      <c r="O2" s="39">
        <v>230</v>
      </c>
      <c r="P2" s="39">
        <v>220</v>
      </c>
      <c r="Q2" s="39">
        <v>210</v>
      </c>
      <c r="R2" s="39">
        <v>200</v>
      </c>
      <c r="S2" s="39">
        <v>195</v>
      </c>
      <c r="T2" s="39">
        <v>190</v>
      </c>
      <c r="U2" s="39">
        <v>185</v>
      </c>
      <c r="V2" s="39">
        <v>180</v>
      </c>
      <c r="W2" s="39">
        <v>175</v>
      </c>
      <c r="X2" s="39">
        <v>170</v>
      </c>
      <c r="Y2" s="39">
        <v>165</v>
      </c>
      <c r="Z2" s="40">
        <v>160</v>
      </c>
      <c r="AA2" s="41">
        <v>155</v>
      </c>
      <c r="AB2" s="39">
        <v>150</v>
      </c>
      <c r="AC2" s="39">
        <v>145</v>
      </c>
      <c r="AD2" s="39">
        <v>141</v>
      </c>
      <c r="AE2" s="39">
        <v>137</v>
      </c>
      <c r="AF2" s="39">
        <v>133</v>
      </c>
      <c r="AG2" s="39">
        <v>129</v>
      </c>
      <c r="AH2" s="39">
        <v>125</v>
      </c>
      <c r="AI2" s="39">
        <v>121</v>
      </c>
      <c r="AJ2" s="39">
        <v>117</v>
      </c>
      <c r="AK2" s="39">
        <v>113</v>
      </c>
      <c r="AL2" s="39">
        <v>109</v>
      </c>
      <c r="AM2" s="39">
        <v>105</v>
      </c>
      <c r="AN2" s="39">
        <v>102</v>
      </c>
      <c r="AO2" s="39">
        <v>99</v>
      </c>
      <c r="AP2" s="39">
        <v>96</v>
      </c>
      <c r="AQ2" s="39">
        <v>93</v>
      </c>
      <c r="AR2" s="39">
        <v>90</v>
      </c>
      <c r="AS2" s="39">
        <v>87</v>
      </c>
      <c r="AT2" s="40">
        <v>84</v>
      </c>
    </row>
    <row r="3" spans="2:9" ht="37.5" customHeight="1">
      <c r="B3" s="305" t="s">
        <v>85</v>
      </c>
      <c r="C3" s="305"/>
      <c r="D3" s="305"/>
      <c r="E3" s="305"/>
      <c r="F3" s="45"/>
      <c r="G3" s="24"/>
      <c r="H3" s="5"/>
      <c r="I3" s="5"/>
    </row>
    <row r="4" spans="2:9" ht="15.75">
      <c r="B4" s="31"/>
      <c r="C4" s="159"/>
      <c r="D4" s="31"/>
      <c r="E4" s="31"/>
      <c r="F4" s="31"/>
      <c r="G4" s="24"/>
      <c r="H4" s="5"/>
      <c r="I4" s="5"/>
    </row>
    <row r="5" spans="2:9" ht="39.75" customHeight="1">
      <c r="B5" s="305" t="s">
        <v>86</v>
      </c>
      <c r="C5" s="305"/>
      <c r="D5" s="305"/>
      <c r="E5" s="305"/>
      <c r="F5" s="32"/>
      <c r="G5" s="24"/>
      <c r="H5" s="5"/>
      <c r="I5" s="5"/>
    </row>
    <row r="6" spans="2:9" ht="18" customHeight="1">
      <c r="B6" s="32"/>
      <c r="C6" s="160"/>
      <c r="D6" s="32"/>
      <c r="E6" s="32"/>
      <c r="F6" s="32"/>
      <c r="G6" s="24"/>
      <c r="H6" s="5"/>
      <c r="I6" s="5"/>
    </row>
    <row r="7" spans="2:9" ht="16.5" thickBot="1">
      <c r="B7" s="33" t="s">
        <v>73</v>
      </c>
      <c r="C7" s="19"/>
      <c r="D7" s="19"/>
      <c r="E7" s="19" t="s">
        <v>71</v>
      </c>
      <c r="F7" s="19"/>
      <c r="G7" s="24"/>
      <c r="H7" s="5"/>
      <c r="I7" s="5"/>
    </row>
    <row r="8" spans="2:9" ht="65.25" customHeight="1" thickTop="1">
      <c r="B8" s="260" t="s">
        <v>57</v>
      </c>
      <c r="C8" s="261" t="s">
        <v>75</v>
      </c>
      <c r="D8" s="262" t="s">
        <v>74</v>
      </c>
      <c r="E8" s="260" t="s">
        <v>7</v>
      </c>
      <c r="F8" s="19"/>
      <c r="G8" s="24"/>
      <c r="H8" s="5"/>
      <c r="I8" s="5"/>
    </row>
    <row r="9" spans="2:9" ht="15.75">
      <c r="B9" s="263" t="s">
        <v>5</v>
      </c>
      <c r="C9" s="253">
        <v>16.5</v>
      </c>
      <c r="D9" s="264">
        <f>LOOKUP(E9,$G$1:$AT$1,$G$2:$AT$2)</f>
        <v>360</v>
      </c>
      <c r="E9" s="264">
        <v>1</v>
      </c>
      <c r="G9" s="24"/>
      <c r="H9" s="5"/>
      <c r="I9" s="5"/>
    </row>
    <row r="10" spans="2:9" ht="15.75">
      <c r="B10" s="263" t="s">
        <v>24</v>
      </c>
      <c r="C10" s="253">
        <v>15</v>
      </c>
      <c r="D10" s="264">
        <f aca="true" t="shared" si="0" ref="D10:D29">LOOKUP(E10,$G$1:$AT$1,$G$2:$AT$2)</f>
        <v>330</v>
      </c>
      <c r="E10" s="264">
        <v>2</v>
      </c>
      <c r="G10" s="24"/>
      <c r="H10" s="5"/>
      <c r="I10" s="5"/>
    </row>
    <row r="11" spans="2:9" ht="15.75">
      <c r="B11" s="263" t="s">
        <v>30</v>
      </c>
      <c r="C11" s="253">
        <v>14.5</v>
      </c>
      <c r="D11" s="264">
        <f t="shared" si="0"/>
        <v>305</v>
      </c>
      <c r="E11" s="264">
        <v>3</v>
      </c>
      <c r="G11" s="24"/>
      <c r="H11" s="5"/>
      <c r="I11" s="5"/>
    </row>
    <row r="12" spans="2:9" ht="15.75">
      <c r="B12" s="263" t="s">
        <v>28</v>
      </c>
      <c r="C12" s="253">
        <v>12.5</v>
      </c>
      <c r="D12" s="264">
        <f t="shared" si="0"/>
        <v>285</v>
      </c>
      <c r="E12" s="264">
        <v>4</v>
      </c>
      <c r="G12" s="24"/>
      <c r="H12" s="5"/>
      <c r="I12" s="5"/>
    </row>
    <row r="13" spans="2:9" ht="15.75">
      <c r="B13" s="263" t="s">
        <v>20</v>
      </c>
      <c r="C13" s="253">
        <v>12.5</v>
      </c>
      <c r="D13" s="264">
        <f t="shared" si="0"/>
        <v>270</v>
      </c>
      <c r="E13" s="264">
        <v>5</v>
      </c>
      <c r="G13" s="24"/>
      <c r="H13" s="5"/>
      <c r="I13" s="5"/>
    </row>
    <row r="14" spans="2:9" ht="15.75">
      <c r="B14" s="263" t="s">
        <v>45</v>
      </c>
      <c r="C14" s="253">
        <v>12.5</v>
      </c>
      <c r="D14" s="264">
        <f t="shared" si="0"/>
        <v>260</v>
      </c>
      <c r="E14" s="264">
        <v>6</v>
      </c>
      <c r="G14" s="24"/>
      <c r="H14" s="5"/>
      <c r="I14" s="5"/>
    </row>
    <row r="15" spans="2:9" ht="15.75">
      <c r="B15" s="263" t="s">
        <v>46</v>
      </c>
      <c r="C15" s="253">
        <v>12</v>
      </c>
      <c r="D15" s="264">
        <f t="shared" si="0"/>
        <v>250</v>
      </c>
      <c r="E15" s="264">
        <v>7</v>
      </c>
      <c r="G15" s="24"/>
      <c r="H15" s="5"/>
      <c r="I15" s="5"/>
    </row>
    <row r="16" spans="2:9" ht="15.75">
      <c r="B16" s="263" t="s">
        <v>19</v>
      </c>
      <c r="C16" s="253">
        <v>12</v>
      </c>
      <c r="D16" s="264">
        <f t="shared" si="0"/>
        <v>240</v>
      </c>
      <c r="E16" s="264">
        <v>8</v>
      </c>
      <c r="G16" s="24"/>
      <c r="H16" s="5"/>
      <c r="I16" s="5"/>
    </row>
    <row r="17" spans="2:9" ht="15.75">
      <c r="B17" s="263" t="s">
        <v>3</v>
      </c>
      <c r="C17" s="253">
        <v>11.5</v>
      </c>
      <c r="D17" s="264">
        <f t="shared" si="0"/>
        <v>230</v>
      </c>
      <c r="E17" s="264">
        <v>9</v>
      </c>
      <c r="G17" s="24"/>
      <c r="H17" s="5"/>
      <c r="I17" s="5"/>
    </row>
    <row r="18" spans="2:9" ht="15.75">
      <c r="B18" s="265" t="s">
        <v>21</v>
      </c>
      <c r="C18" s="253">
        <v>11</v>
      </c>
      <c r="D18" s="264">
        <f t="shared" si="0"/>
        <v>220</v>
      </c>
      <c r="E18" s="264">
        <v>10</v>
      </c>
      <c r="G18" s="24"/>
      <c r="H18" s="5"/>
      <c r="I18" s="5"/>
    </row>
    <row r="19" spans="2:9" ht="15.75">
      <c r="B19" s="263" t="s">
        <v>25</v>
      </c>
      <c r="C19" s="253">
        <v>11</v>
      </c>
      <c r="D19" s="264">
        <f t="shared" si="0"/>
        <v>210</v>
      </c>
      <c r="E19" s="264">
        <v>11</v>
      </c>
      <c r="G19" s="24"/>
      <c r="H19" s="5"/>
      <c r="I19" s="5"/>
    </row>
    <row r="20" spans="2:9" ht="15.75">
      <c r="B20" s="263" t="s">
        <v>38</v>
      </c>
      <c r="C20" s="253">
        <v>10.5</v>
      </c>
      <c r="D20" s="264">
        <f t="shared" si="0"/>
        <v>200</v>
      </c>
      <c r="E20" s="264">
        <v>12</v>
      </c>
      <c r="G20" s="24"/>
      <c r="H20" s="5"/>
      <c r="I20" s="5"/>
    </row>
    <row r="21" spans="2:9" ht="15.75">
      <c r="B21" s="263" t="s">
        <v>22</v>
      </c>
      <c r="C21" s="253">
        <v>9</v>
      </c>
      <c r="D21" s="264">
        <f t="shared" si="0"/>
        <v>195</v>
      </c>
      <c r="E21" s="264">
        <v>13</v>
      </c>
      <c r="G21" s="24"/>
      <c r="H21" s="5"/>
      <c r="I21" s="5"/>
    </row>
    <row r="22" spans="2:9" ht="15.75">
      <c r="B22" s="263" t="s">
        <v>10</v>
      </c>
      <c r="C22" s="253">
        <v>9</v>
      </c>
      <c r="D22" s="264">
        <f t="shared" si="0"/>
        <v>190</v>
      </c>
      <c r="E22" s="264">
        <v>14</v>
      </c>
      <c r="G22" s="24"/>
      <c r="H22" s="5"/>
      <c r="I22" s="5"/>
    </row>
    <row r="23" spans="2:9" ht="15.75">
      <c r="B23" s="263" t="s">
        <v>40</v>
      </c>
      <c r="C23" s="253">
        <v>9</v>
      </c>
      <c r="D23" s="264">
        <f t="shared" si="0"/>
        <v>185</v>
      </c>
      <c r="E23" s="264">
        <v>15</v>
      </c>
      <c r="G23" s="24"/>
      <c r="H23" s="5"/>
      <c r="I23" s="5"/>
    </row>
    <row r="24" spans="2:9" ht="15.75">
      <c r="B24" s="263" t="s">
        <v>9</v>
      </c>
      <c r="C24" s="253">
        <v>8.5</v>
      </c>
      <c r="D24" s="264">
        <f t="shared" si="0"/>
        <v>180</v>
      </c>
      <c r="E24" s="264">
        <v>16</v>
      </c>
      <c r="G24" s="24"/>
      <c r="H24" s="5"/>
      <c r="I24" s="5"/>
    </row>
    <row r="25" spans="2:9" ht="15.75">
      <c r="B25" s="263" t="s">
        <v>26</v>
      </c>
      <c r="C25" s="253">
        <v>8</v>
      </c>
      <c r="D25" s="264">
        <f t="shared" si="0"/>
        <v>175</v>
      </c>
      <c r="E25" s="264">
        <v>17</v>
      </c>
      <c r="G25" s="24"/>
      <c r="H25" s="5"/>
      <c r="I25" s="5"/>
    </row>
    <row r="26" spans="2:9" ht="15.75">
      <c r="B26" s="263" t="s">
        <v>42</v>
      </c>
      <c r="C26" s="253">
        <v>7.5</v>
      </c>
      <c r="D26" s="264">
        <f t="shared" si="0"/>
        <v>170</v>
      </c>
      <c r="E26" s="264">
        <v>18</v>
      </c>
      <c r="G26" s="24"/>
      <c r="H26" s="5"/>
      <c r="I26" s="5"/>
    </row>
    <row r="27" spans="2:9" ht="15.75">
      <c r="B27" s="263" t="s">
        <v>41</v>
      </c>
      <c r="C27" s="253">
        <v>6</v>
      </c>
      <c r="D27" s="264">
        <f t="shared" si="0"/>
        <v>165</v>
      </c>
      <c r="E27" s="264">
        <v>19</v>
      </c>
      <c r="G27" s="24"/>
      <c r="H27" s="5"/>
      <c r="I27" s="5"/>
    </row>
    <row r="28" spans="2:9" ht="15.75">
      <c r="B28" s="263" t="s">
        <v>23</v>
      </c>
      <c r="C28" s="253">
        <v>3.5</v>
      </c>
      <c r="D28" s="264">
        <f t="shared" si="0"/>
        <v>160</v>
      </c>
      <c r="E28" s="264">
        <v>20</v>
      </c>
      <c r="G28" s="24"/>
      <c r="H28" s="5"/>
      <c r="I28" s="5"/>
    </row>
    <row r="29" spans="2:9" ht="15.75">
      <c r="B29" s="263" t="s">
        <v>27</v>
      </c>
      <c r="C29" s="253">
        <v>2.5</v>
      </c>
      <c r="D29" s="264">
        <f t="shared" si="0"/>
        <v>155</v>
      </c>
      <c r="E29" s="264">
        <v>21</v>
      </c>
      <c r="G29" s="24"/>
      <c r="H29" s="5"/>
      <c r="I29" s="5"/>
    </row>
    <row r="30" spans="4:9" ht="15.75">
      <c r="D30" s="13"/>
      <c r="E30" s="13"/>
      <c r="G30" s="24"/>
      <c r="H30" s="5"/>
      <c r="I30" s="5"/>
    </row>
    <row r="31" spans="4:9" ht="15.75">
      <c r="D31" s="13"/>
      <c r="E31" s="13"/>
      <c r="G31" s="24"/>
      <c r="H31" s="5"/>
      <c r="I31" s="5"/>
    </row>
    <row r="32" spans="4:9" ht="15.75">
      <c r="D32" s="13"/>
      <c r="E32" s="13"/>
      <c r="G32" s="24"/>
      <c r="H32" s="5"/>
      <c r="I32" s="5"/>
    </row>
    <row r="33" spans="4:9" ht="15.75">
      <c r="D33" s="13"/>
      <c r="E33" s="13"/>
      <c r="G33" s="24"/>
      <c r="H33" s="5"/>
      <c r="I33" s="5"/>
    </row>
    <row r="34" spans="4:9" ht="15.75">
      <c r="D34" s="13"/>
      <c r="E34" s="13"/>
      <c r="G34" s="24"/>
      <c r="H34" s="5"/>
      <c r="I34" s="5"/>
    </row>
    <row r="35" spans="4:9" ht="15.75">
      <c r="D35" s="13"/>
      <c r="E35" s="13"/>
      <c r="G35" s="24"/>
      <c r="H35" s="5"/>
      <c r="I35" s="5"/>
    </row>
    <row r="36" spans="5:9" ht="15.75">
      <c r="E36" s="13"/>
      <c r="G36" s="24"/>
      <c r="H36" s="5"/>
      <c r="I36" s="5"/>
    </row>
    <row r="37" spans="5:9" ht="15.75">
      <c r="E37" s="13"/>
      <c r="G37" s="24"/>
      <c r="H37" s="5"/>
      <c r="I37" s="5"/>
    </row>
    <row r="38" spans="5:9" ht="15.75">
      <c r="E38" s="13"/>
      <c r="G38" s="24"/>
      <c r="H38" s="5"/>
      <c r="I38" s="5"/>
    </row>
    <row r="39" spans="7:9" ht="15.75">
      <c r="G39" s="24"/>
      <c r="H39" s="5"/>
      <c r="I39" s="5"/>
    </row>
    <row r="40" spans="7:9" ht="15.75">
      <c r="G40" s="24"/>
      <c r="H40" s="5"/>
      <c r="I40" s="5"/>
    </row>
    <row r="41" spans="7:9" ht="15.75">
      <c r="G41" s="24"/>
      <c r="H41" s="5"/>
      <c r="I41" s="5"/>
    </row>
    <row r="42" spans="7:8" ht="15.75">
      <c r="G42" s="24"/>
      <c r="H42" s="5"/>
    </row>
    <row r="43" spans="7:8" ht="15.75">
      <c r="G43" s="24"/>
      <c r="H43" s="5"/>
    </row>
    <row r="44" spans="7:8" ht="12.75">
      <c r="G44" s="5"/>
      <c r="H44" s="5"/>
    </row>
  </sheetData>
  <sheetProtection/>
  <mergeCells count="3">
    <mergeCell ref="B1:E1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2015-10-24T14:20:29Z</cp:lastPrinted>
  <dcterms:created xsi:type="dcterms:W3CDTF">1996-10-08T23:32:33Z</dcterms:created>
  <dcterms:modified xsi:type="dcterms:W3CDTF">2015-10-25T12:55:40Z</dcterms:modified>
  <cp:category/>
  <cp:version/>
  <cp:contentType/>
  <cp:contentStatus/>
</cp:coreProperties>
</file>